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OneDrive\Documentos\CIM 2024\CONVENIO BARRAGENS 2024\BARRAGEM TURMALINA 2024\"/>
    </mc:Choice>
  </mc:AlternateContent>
  <xr:revisionPtr revIDLastSave="0" documentId="8_{BA52EEFE-F167-436C-A139-8157C64BD8B6}" xr6:coauthVersionLast="46" xr6:coauthVersionMax="46" xr10:uidLastSave="{00000000-0000-0000-0000-000000000000}"/>
  <bookViews>
    <workbookView xWindow="-120" yWindow="-120" windowWidth="20730" windowHeight="11040" activeTab="3" xr2:uid="{00000000-000D-0000-FFFF-FFFF00000000}"/>
  </bookViews>
  <sheets>
    <sheet name="Orç. Turmalina MOD ÁLVARO 27-11" sheetId="3" r:id="rId1"/>
    <sheet name="Orç. Turalina ÁLVARO SICOR" sheetId="4" r:id="rId2"/>
    <sheet name="CPU 01 TURMALINA" sheetId="5" r:id="rId3"/>
    <sheet name="CRONO F-F TURMALINA SICOR" sheetId="6" r:id="rId4"/>
    <sheet name="Planilha1" sheetId="2" r:id="rId5"/>
  </sheets>
  <externalReferences>
    <externalReference r:id="rId6"/>
    <externalReference r:id="rId7"/>
    <externalReference r:id="rId8"/>
    <externalReference r:id="rId9"/>
  </externalReferences>
  <definedNames>
    <definedName name="___sub1">#REF!</definedName>
    <definedName name="___sub2">#REF!</definedName>
    <definedName name="___sub3">#REF!</definedName>
    <definedName name="_sub1">#REF!</definedName>
    <definedName name="_sub2">#REF!</definedName>
    <definedName name="_sub3">#REF!</definedName>
    <definedName name="a">#REF!</definedName>
    <definedName name="AA" localSheetId="3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ccessDatabase" hidden="1">"D:\Arquivos do excel\Planilha modelo1.mdb"</definedName>
    <definedName name="ADMILSON">#REF!</definedName>
    <definedName name="af" localSheetId="3">#REF!</definedName>
    <definedName name="af" localSheetId="1">#REF!</definedName>
    <definedName name="af" localSheetId="0">#REF!</definedName>
    <definedName name="af">#REF!</definedName>
    <definedName name="ag" localSheetId="3">#REF!</definedName>
    <definedName name="ag" localSheetId="1">#REF!</definedName>
    <definedName name="ag" localSheetId="0">#REF!</definedName>
    <definedName name="ag">#REF!</definedName>
    <definedName name="AREA">#REF!</definedName>
    <definedName name="_xlnm.Print_Area" localSheetId="3">'CRONO F-F TURMALINA SICOR'!$A$1:$J$33</definedName>
    <definedName name="_xlnm.Print_Area" localSheetId="1">'Orç. Turalina ÁLVARO SICOR'!$A$1:$I$70</definedName>
    <definedName name="_xlnm.Print_Area" localSheetId="0">'Orç. Turmalina MOD ÁLVARO 27-11'!$A$1:$I$70</definedName>
    <definedName name="B">#REF!</definedName>
    <definedName name="BALTO" localSheetId="3">#REF!</definedName>
    <definedName name="BALTO" localSheetId="1">#REF!</definedName>
    <definedName name="BALTO" localSheetId="0">#REF!</definedName>
    <definedName name="BALTO">#REF!</definedName>
    <definedName name="BDI">#REF!</definedName>
    <definedName name="CA">#REF!</definedName>
    <definedName name="CÁLCULO">#REF!</definedName>
    <definedName name="CalculoFossa20" localSheetId="3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" localSheetId="3">#REF!</definedName>
    <definedName name="ce" localSheetId="1">#REF!</definedName>
    <definedName name="ce" localSheetId="0">#REF!</definedName>
    <definedName name="ce">#REF!</definedName>
    <definedName name="Cedro1COMPLETO" localSheetId="3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ho" localSheetId="3">#REF!</definedName>
    <definedName name="cho" localSheetId="1">#REF!</definedName>
    <definedName name="cho" localSheetId="0">#REF!</definedName>
    <definedName name="cho">#REF!</definedName>
    <definedName name="ci" localSheetId="1">#REF!</definedName>
    <definedName name="ci" localSheetId="0">#REF!</definedName>
    <definedName name="ci">#REF!</definedName>
    <definedName name="ciclovia" localSheetId="3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3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3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3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3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3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3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3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LUNA2">#REF!</definedName>
    <definedName name="COMP.">#REF!</definedName>
    <definedName name="cotação" localSheetId="3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ddd" localSheetId="3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fdfsdf" localSheetId="1">#REF!</definedName>
    <definedName name="dfdfsdf" localSheetId="0">#REF!</definedName>
    <definedName name="dfdfsdf">#REF!</definedName>
    <definedName name="DOLAR">[1]INSUMOS!$G$8</definedName>
    <definedName name="ERERERERERE" localSheetId="1">#REF!</definedName>
    <definedName name="ERERERERERE" localSheetId="0">#REF!</definedName>
    <definedName name="ERERERERERE">#REF!</definedName>
    <definedName name="ersdcefgbrnghrbgbrgfbgfwbvbfgvwfv">#REF!</definedName>
    <definedName name="EWEWEWE" localSheetId="1">#REF!</definedName>
    <definedName name="EWEWEWE" localSheetId="0">#REF!</definedName>
    <definedName name="EWEWEWE">#REF!</definedName>
    <definedName name="EWWEW" localSheetId="1">#REF!</definedName>
    <definedName name="EWWEW" localSheetId="0">#REF!</definedName>
    <definedName name="EWWEW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ASDF">#REF!</definedName>
    <definedName name="Fossa20" localSheetId="3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3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jazida5" localSheetId="1">#REF!</definedName>
    <definedName name="jazida5" localSheetId="0">#REF!</definedName>
    <definedName name="jazida5">#REF!</definedName>
    <definedName name="jazida6" localSheetId="1">#REF!</definedName>
    <definedName name="jazida6" localSheetId="0">#REF!</definedName>
    <definedName name="jazida6">#REF!</definedName>
    <definedName name="leosde">#REF!</definedName>
    <definedName name="ls" localSheetId="1">#REF!</definedName>
    <definedName name="ls" localSheetId="0">#REF!</definedName>
    <definedName name="ls">#REF!</definedName>
    <definedName name="lub" localSheetId="1">#REF!</definedName>
    <definedName name="lub" localSheetId="0">#REF!</definedName>
    <definedName name="lub">#REF!</definedName>
    <definedName name="mac" localSheetId="3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3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3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io" localSheetId="1">#REF!</definedName>
    <definedName name="meio" localSheetId="0">#REF!</definedName>
    <definedName name="meio">#REF!</definedName>
    <definedName name="MEMÓRIADECALCULO">#REF!</definedName>
    <definedName name="NCOMPOSICOES">7</definedName>
    <definedName name="NCOTACOES">15</definedName>
    <definedName name="noo" localSheetId="3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NOVA">#REF!</definedName>
    <definedName name="obra">#REF!</definedName>
    <definedName name="obra1">#REF!</definedName>
    <definedName name="obra2">#REF!</definedName>
    <definedName name="obra3">#REF!</definedName>
    <definedName name="obra4">#REF!</definedName>
    <definedName name="obra5">#REF!</definedName>
    <definedName name="od" localSheetId="1">#REF!</definedName>
    <definedName name="od" localSheetId="0">#REF!</definedName>
    <definedName name="od">#REF!</definedName>
    <definedName name="of" localSheetId="1">#REF!</definedName>
    <definedName name="of" localSheetId="0">#REF!</definedName>
    <definedName name="of">#REF!</definedName>
    <definedName name="orcamento" localSheetId="3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p" localSheetId="2">#REF!</definedName>
    <definedName name="p" localSheetId="1">#REF!</definedName>
    <definedName name="p" localSheetId="0">#REF!</definedName>
    <definedName name="p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yment_Needed">"Pagamento necessário"</definedName>
    <definedName name="pdm" localSheetId="3">#REF!</definedName>
    <definedName name="pdm" localSheetId="1">#REF!</definedName>
    <definedName name="pdm" localSheetId="0">#REF!</definedName>
    <definedName name="pdm">#REF!</definedName>
    <definedName name="pedra" localSheetId="3">#REF!</definedName>
    <definedName name="pedra" localSheetId="1">#REF!</definedName>
    <definedName name="pedra" localSheetId="0">#REF!</definedName>
    <definedName name="pedra">#REF!</definedName>
    <definedName name="Pedreiro_de_acabamento">[1]INSUMOS!$B$11</definedName>
    <definedName name="PLANILHA">#REF!</definedName>
    <definedName name="port" localSheetId="3">#REF!</definedName>
    <definedName name="port" localSheetId="1">#REF!</definedName>
    <definedName name="port" localSheetId="0">#REF!</definedName>
    <definedName name="port">#REF!</definedName>
    <definedName name="PP1.1">#REF!</definedName>
    <definedName name="PP1.10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PREF" localSheetId="1">#REF!</definedName>
    <definedName name="PREF" localSheetId="0">#REF!</definedName>
    <definedName name="PREF">#REF!</definedName>
    <definedName name="Reimbursement">"Reembolso"</definedName>
    <definedName name="ruas" localSheetId="3">#REF!</definedName>
    <definedName name="ruas" localSheetId="1">#REF!</definedName>
    <definedName name="ruas" localSheetId="0">#REF!</definedName>
    <definedName name="ruas">#REF!</definedName>
    <definedName name="ruas3" localSheetId="3">#REF!</definedName>
    <definedName name="ruas3" localSheetId="1">#REF!</definedName>
    <definedName name="ruas3" localSheetId="0">#REF!</definedName>
    <definedName name="ruas3">#REF!</definedName>
    <definedName name="s" localSheetId="3">#REF!</definedName>
    <definedName name="s" localSheetId="1">#REF!</definedName>
    <definedName name="s" localSheetId="0">#REF!</definedName>
    <definedName name="s">#REF!</definedName>
    <definedName name="se" localSheetId="1">#REF!</definedName>
    <definedName name="se" localSheetId="0">#REF!</definedName>
    <definedName name="se">#REF!</definedName>
    <definedName name="sx" localSheetId="1">#REF!</definedName>
    <definedName name="sx" localSheetId="0">#REF!</definedName>
    <definedName name="sx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b100cm" localSheetId="1">#REF!</definedName>
    <definedName name="tb100cm" localSheetId="0">#REF!</definedName>
    <definedName name="tb100cm">#REF!</definedName>
    <definedName name="_xlnm.Print_Titles" localSheetId="1">'Orç. Turalina ÁLVARO SICOR'!$A:$I,'Orç. Turalina ÁLVARO SICOR'!$1:$17</definedName>
    <definedName name="_xlnm.Print_Titles" localSheetId="0">'Orç. Turmalina MOD ÁLVARO 27-11'!$A:$I,'Orç. Turmalina MOD ÁLVARO 27-11'!$1:$17</definedName>
    <definedName name="TOT.P">#REF!</definedName>
    <definedName name="TOT1.P">#REF!</definedName>
    <definedName name="total" localSheetId="3">#REF!</definedName>
    <definedName name="total" localSheetId="1">#REF!</definedName>
    <definedName name="total" localSheetId="0">#REF!</definedName>
    <definedName name="total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  <definedName name="WEQEWEWE" localSheetId="3">#REF!</definedName>
    <definedName name="WEQEWEWE" localSheetId="1">#REF!</definedName>
    <definedName name="WEQEWEWE" localSheetId="0">#REF!</definedName>
    <definedName name="WEQEWEWE">#REF!</definedName>
    <definedName name="WEWEW" localSheetId="3">#REF!</definedName>
    <definedName name="WEWEW" localSheetId="1">#REF!</definedName>
    <definedName name="WEWEW" localSheetId="0">#REF!</definedName>
    <definedName name="WEWEW">#REF!</definedName>
    <definedName name="WEWEWE" localSheetId="1">#REF!</definedName>
    <definedName name="WEWEWE" localSheetId="0">#REF!</definedName>
    <definedName name="WEWEWE">#REF!</definedName>
    <definedName name="wrn.mode_lev.xls." localSheetId="3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x" localSheetId="3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  <definedName name="ZXC\ZXC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 l="1"/>
  <c r="G20" i="6"/>
  <c r="F20" i="6"/>
  <c r="E20" i="6"/>
  <c r="K20" i="6" s="1"/>
  <c r="D20" i="6"/>
  <c r="K19" i="6"/>
  <c r="B19" i="6"/>
  <c r="D18" i="6"/>
  <c r="E18" i="6" s="1"/>
  <c r="K17" i="6"/>
  <c r="B17" i="6"/>
  <c r="G16" i="6"/>
  <c r="E16" i="6"/>
  <c r="D16" i="6"/>
  <c r="H16" i="6" s="1"/>
  <c r="K15" i="6"/>
  <c r="B15" i="6"/>
  <c r="H14" i="6"/>
  <c r="D14" i="6"/>
  <c r="G14" i="6" s="1"/>
  <c r="K13" i="6"/>
  <c r="B13" i="6"/>
  <c r="A13" i="6"/>
  <c r="H12" i="6"/>
  <c r="G12" i="6"/>
  <c r="F12" i="6"/>
  <c r="K12" i="6" s="1"/>
  <c r="E12" i="6"/>
  <c r="D12" i="6"/>
  <c r="K11" i="6"/>
  <c r="B11" i="6"/>
  <c r="A11" i="6"/>
  <c r="D10" i="6"/>
  <c r="D22" i="6" s="1"/>
  <c r="K9" i="6"/>
  <c r="B9" i="6"/>
  <c r="A9" i="6"/>
  <c r="E6" i="6"/>
  <c r="A1" i="6"/>
  <c r="E31" i="5"/>
  <c r="E32" i="5" s="1"/>
  <c r="H26" i="5"/>
  <c r="H25" i="5"/>
  <c r="H24" i="5"/>
  <c r="F23" i="5"/>
  <c r="H23" i="5" s="1"/>
  <c r="C23" i="5"/>
  <c r="H22" i="5"/>
  <c r="F21" i="5"/>
  <c r="H21" i="5" s="1"/>
  <c r="C21" i="5"/>
  <c r="H20" i="5"/>
  <c r="F19" i="5"/>
  <c r="H19" i="5" s="1"/>
  <c r="C19" i="5"/>
  <c r="H18" i="5"/>
  <c r="F17" i="5"/>
  <c r="H17" i="5" s="1"/>
  <c r="C17" i="5"/>
  <c r="H16" i="5"/>
  <c r="H15" i="5"/>
  <c r="M90" i="4"/>
  <c r="G87" i="4"/>
  <c r="J61" i="4"/>
  <c r="J59" i="4"/>
  <c r="J58" i="4"/>
  <c r="J57" i="4"/>
  <c r="G57" i="4"/>
  <c r="I57" i="4" s="1"/>
  <c r="J56" i="4"/>
  <c r="G56" i="4"/>
  <c r="I56" i="4" s="1"/>
  <c r="J55" i="4"/>
  <c r="G55" i="4"/>
  <c r="I55" i="4" s="1"/>
  <c r="J54" i="4"/>
  <c r="G54" i="4"/>
  <c r="I54" i="4" s="1"/>
  <c r="J53" i="4"/>
  <c r="G53" i="4"/>
  <c r="I53" i="4" s="1"/>
  <c r="J52" i="4"/>
  <c r="G52" i="4"/>
  <c r="I52" i="4" s="1"/>
  <c r="J51" i="4"/>
  <c r="G51" i="4"/>
  <c r="I51" i="4" s="1"/>
  <c r="J50" i="4"/>
  <c r="G50" i="4"/>
  <c r="I50" i="4" s="1"/>
  <c r="J49" i="4"/>
  <c r="G49" i="4"/>
  <c r="I49" i="4" s="1"/>
  <c r="J48" i="4"/>
  <c r="G48" i="4"/>
  <c r="I48" i="4" s="1"/>
  <c r="J47" i="4"/>
  <c r="G47" i="4"/>
  <c r="I47" i="4" s="1"/>
  <c r="J46" i="4"/>
  <c r="G46" i="4"/>
  <c r="I46" i="4" s="1"/>
  <c r="J45" i="4"/>
  <c r="G45" i="4"/>
  <c r="I45" i="4" s="1"/>
  <c r="J44" i="4"/>
  <c r="G44" i="4"/>
  <c r="I44" i="4" s="1"/>
  <c r="J43" i="4"/>
  <c r="G43" i="4"/>
  <c r="I43" i="4" s="1"/>
  <c r="J42" i="4"/>
  <c r="J41" i="4"/>
  <c r="J40" i="4"/>
  <c r="G40" i="4"/>
  <c r="I40" i="4" s="1"/>
  <c r="G39" i="4"/>
  <c r="N38" i="4"/>
  <c r="J38" i="4"/>
  <c r="G38" i="4"/>
  <c r="F38" i="4"/>
  <c r="F39" i="4" s="1"/>
  <c r="O37" i="4"/>
  <c r="N37" i="4"/>
  <c r="J37" i="4"/>
  <c r="I37" i="4"/>
  <c r="G37" i="4"/>
  <c r="G36" i="4"/>
  <c r="F36" i="4"/>
  <c r="J36" i="4" s="1"/>
  <c r="L35" i="4"/>
  <c r="K35" i="4"/>
  <c r="J35" i="4"/>
  <c r="I35" i="4"/>
  <c r="G35" i="4"/>
  <c r="J34" i="4"/>
  <c r="J33" i="4"/>
  <c r="J32" i="4"/>
  <c r="J31" i="4"/>
  <c r="G31" i="4"/>
  <c r="I31" i="4" s="1"/>
  <c r="J30" i="4"/>
  <c r="G30" i="4"/>
  <c r="I30" i="4" s="1"/>
  <c r="J29" i="4"/>
  <c r="G29" i="4"/>
  <c r="I29" i="4" s="1"/>
  <c r="J28" i="4"/>
  <c r="J27" i="4"/>
  <c r="J26" i="4"/>
  <c r="J25" i="4"/>
  <c r="I25" i="4"/>
  <c r="G25" i="4"/>
  <c r="F25" i="4"/>
  <c r="J24" i="4"/>
  <c r="I24" i="4"/>
  <c r="G24" i="4"/>
  <c r="J23" i="4"/>
  <c r="I23" i="4"/>
  <c r="I26" i="4" s="1"/>
  <c r="G23" i="4"/>
  <c r="J22" i="4"/>
  <c r="J21" i="4"/>
  <c r="J20" i="4"/>
  <c r="J19" i="4"/>
  <c r="G19" i="4"/>
  <c r="I19" i="4" s="1"/>
  <c r="I20" i="4" s="1"/>
  <c r="A1" i="4"/>
  <c r="M90" i="3"/>
  <c r="G87" i="3"/>
  <c r="J61" i="3"/>
  <c r="J59" i="3"/>
  <c r="J58" i="3"/>
  <c r="J57" i="3"/>
  <c r="G57" i="3"/>
  <c r="I57" i="3" s="1"/>
  <c r="J56" i="3"/>
  <c r="G56" i="3"/>
  <c r="I56" i="3" s="1"/>
  <c r="J55" i="3"/>
  <c r="G55" i="3"/>
  <c r="I55" i="3" s="1"/>
  <c r="J54" i="3"/>
  <c r="G54" i="3"/>
  <c r="I54" i="3" s="1"/>
  <c r="J53" i="3"/>
  <c r="G53" i="3"/>
  <c r="I53" i="3" s="1"/>
  <c r="J52" i="3"/>
  <c r="G52" i="3"/>
  <c r="I52" i="3" s="1"/>
  <c r="J51" i="3"/>
  <c r="G51" i="3"/>
  <c r="I51" i="3" s="1"/>
  <c r="J50" i="3"/>
  <c r="G50" i="3"/>
  <c r="I50" i="3" s="1"/>
  <c r="J49" i="3"/>
  <c r="G49" i="3"/>
  <c r="I49" i="3" s="1"/>
  <c r="J48" i="3"/>
  <c r="G48" i="3"/>
  <c r="I48" i="3" s="1"/>
  <c r="J47" i="3"/>
  <c r="G47" i="3"/>
  <c r="I47" i="3" s="1"/>
  <c r="J46" i="3"/>
  <c r="G46" i="3"/>
  <c r="I46" i="3" s="1"/>
  <c r="J45" i="3"/>
  <c r="G45" i="3"/>
  <c r="I45" i="3" s="1"/>
  <c r="N44" i="3"/>
  <c r="J44" i="3"/>
  <c r="I44" i="3"/>
  <c r="G44" i="3"/>
  <c r="J43" i="3"/>
  <c r="G43" i="3"/>
  <c r="I43" i="3" s="1"/>
  <c r="J42" i="3"/>
  <c r="J41" i="3"/>
  <c r="J40" i="3"/>
  <c r="G40" i="3"/>
  <c r="I40" i="3" s="1"/>
  <c r="G39" i="3"/>
  <c r="N38" i="3"/>
  <c r="J38" i="3"/>
  <c r="I38" i="3"/>
  <c r="G38" i="3"/>
  <c r="F38" i="3"/>
  <c r="F39" i="3" s="1"/>
  <c r="O37" i="3"/>
  <c r="N37" i="3"/>
  <c r="J37" i="3"/>
  <c r="G37" i="3"/>
  <c r="I37" i="3" s="1"/>
  <c r="J36" i="3"/>
  <c r="G36" i="3"/>
  <c r="F36" i="3"/>
  <c r="I36" i="3" s="1"/>
  <c r="L35" i="3"/>
  <c r="K35" i="3"/>
  <c r="J35" i="3"/>
  <c r="G35" i="3"/>
  <c r="I35" i="3" s="1"/>
  <c r="J34" i="3"/>
  <c r="J33" i="3"/>
  <c r="J32" i="3"/>
  <c r="H31" i="3"/>
  <c r="J31" i="3" s="1"/>
  <c r="G31" i="3"/>
  <c r="I31" i="3" s="1"/>
  <c r="J30" i="3"/>
  <c r="H30" i="3"/>
  <c r="G30" i="3"/>
  <c r="I30" i="3" s="1"/>
  <c r="H29" i="3"/>
  <c r="G29" i="3" s="1"/>
  <c r="I29" i="3" s="1"/>
  <c r="I32" i="3" s="1"/>
  <c r="J28" i="3"/>
  <c r="J27" i="3"/>
  <c r="P26" i="3"/>
  <c r="J26" i="3"/>
  <c r="G25" i="3"/>
  <c r="I25" i="3" s="1"/>
  <c r="F25" i="3"/>
  <c r="J25" i="3" s="1"/>
  <c r="J24" i="3"/>
  <c r="I24" i="3"/>
  <c r="H24" i="3"/>
  <c r="G24" i="3"/>
  <c r="H23" i="3"/>
  <c r="J23" i="3" s="1"/>
  <c r="J22" i="3"/>
  <c r="J21" i="3"/>
  <c r="J20" i="3"/>
  <c r="J19" i="3"/>
  <c r="I19" i="3"/>
  <c r="I20" i="3" s="1"/>
  <c r="H19" i="3"/>
  <c r="G19" i="3"/>
  <c r="A1" i="3"/>
  <c r="K16" i="6" l="1"/>
  <c r="D11" i="6"/>
  <c r="D15" i="6"/>
  <c r="D17" i="6"/>
  <c r="D19" i="6"/>
  <c r="H10" i="6"/>
  <c r="F18" i="6"/>
  <c r="K18" i="6" s="1"/>
  <c r="G18" i="6"/>
  <c r="D13" i="6"/>
  <c r="H18" i="6"/>
  <c r="F16" i="6"/>
  <c r="E10" i="6"/>
  <c r="G10" i="6"/>
  <c r="E14" i="6"/>
  <c r="D9" i="6"/>
  <c r="F14" i="6"/>
  <c r="F10" i="6"/>
  <c r="J39" i="4"/>
  <c r="I39" i="4"/>
  <c r="I32" i="4"/>
  <c r="I58" i="3"/>
  <c r="H27" i="5"/>
  <c r="H31" i="5" s="1"/>
  <c r="I39" i="3"/>
  <c r="J39" i="3"/>
  <c r="I58" i="4"/>
  <c r="J60" i="3"/>
  <c r="H60" i="3" s="1"/>
  <c r="G60" i="3" s="1"/>
  <c r="I60" i="3" s="1"/>
  <c r="I61" i="3" s="1"/>
  <c r="I41" i="3"/>
  <c r="J60" i="4"/>
  <c r="J29" i="3"/>
  <c r="G23" i="3"/>
  <c r="I23" i="3" s="1"/>
  <c r="I26" i="3" s="1"/>
  <c r="I63" i="3" s="1"/>
  <c r="P25" i="3"/>
  <c r="I38" i="4"/>
  <c r="I36" i="4"/>
  <c r="I41" i="4" s="1"/>
  <c r="H22" i="6" l="1"/>
  <c r="H21" i="6" s="1"/>
  <c r="F22" i="6"/>
  <c r="F21" i="6" s="1"/>
  <c r="K14" i="6"/>
  <c r="E22" i="6"/>
  <c r="K10" i="6"/>
  <c r="D21" i="6"/>
  <c r="G22" i="6"/>
  <c r="G21" i="6" s="1"/>
  <c r="M91" i="3"/>
  <c r="D87" i="3"/>
  <c r="I87" i="3" s="1"/>
  <c r="G81" i="3"/>
  <c r="G82" i="3" s="1"/>
  <c r="H32" i="5"/>
  <c r="H33" i="5" s="1"/>
  <c r="H60" i="4" s="1"/>
  <c r="G60" i="4" s="1"/>
  <c r="I60" i="4" s="1"/>
  <c r="I61" i="4" s="1"/>
  <c r="I63" i="4" s="1"/>
  <c r="E21" i="6" l="1"/>
  <c r="K21" i="6" s="1"/>
  <c r="K22" i="6"/>
  <c r="M91" i="4"/>
  <c r="D87" i="4"/>
  <c r="I87" i="4" s="1"/>
  <c r="G81" i="4"/>
  <c r="G82" i="4" s="1"/>
  <c r="M93" i="3"/>
  <c r="M94" i="3" s="1"/>
  <c r="M92" i="3"/>
  <c r="M93" i="4" l="1"/>
  <c r="M94" i="4" s="1"/>
  <c r="M9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m1018707</author>
    <author>Alvaro</author>
  </authors>
  <commentList>
    <comment ref="F23" authorId="0" shapeId="0" xr:uid="{679454CE-BAAD-43BE-8644-940CD3126E89}">
      <text>
        <r>
          <rPr>
            <b/>
            <sz val="9"/>
            <color indexed="81"/>
            <rFont val="Segoe UI"/>
            <family val="2"/>
          </rPr>
          <t>m1018707:</t>
        </r>
        <r>
          <rPr>
            <sz val="9"/>
            <color indexed="81"/>
            <rFont val="Segoe UI"/>
            <family val="2"/>
          </rPr>
          <t xml:space="preserve">
Jazidas de empréstimo de material construtivo</t>
        </r>
      </text>
    </comment>
    <comment ref="F24" authorId="1" shapeId="0" xr:uid="{AA4B01F0-F96A-4B4F-8067-F373BAB30C84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VOLUME RECALCULADO PARA NOVA CONFIGURAÇÃO DA BARRAGEM DESCONTANDO A VALA JÁ ESCAVADA.
1058,83M³ DA PRIMEIRA MEDIÇÃO (NÃO EMPOLADO)
</t>
        </r>
      </text>
    </comment>
    <comment ref="F25" authorId="1" shapeId="0" xr:uid="{001D6D2F-1A15-4FBF-BB44-D812C04C20B1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Igual ao total a ser escavado(descontando o que já foi pago) multiplicado pelo fator de empolamento de 1,19
</t>
        </r>
      </text>
    </comment>
    <comment ref="F35" authorId="1" shapeId="0" xr:uid="{7F489704-F714-42DA-85A1-57CEEE4A1C12}">
      <text>
        <r>
          <rPr>
            <sz val="11"/>
            <color theme="1"/>
            <rFont val="Calibri"/>
            <family val="2"/>
            <scheme val="minor"/>
          </rPr>
          <t>JG/SEAPA: escavação de canal trecho lento 60 m seção 8,86 m² e profundidade 2,12 m</t>
        </r>
      </text>
    </comment>
    <comment ref="D37" authorId="0" shapeId="0" xr:uid="{0D8F4064-2385-41B4-9124-34094B6E4A66}">
      <text>
        <r>
          <rPr>
            <sz val="9"/>
            <color indexed="81"/>
            <rFont val="Segoe UI"/>
            <family val="2"/>
          </rPr>
          <t xml:space="preserve">JG/SEAPA: Escavação trecho rápido do canal, 120 m de comprimento. Incluído valetas de ancorágem da geomembrana.
 Ver memória de cálculo
</t>
        </r>
      </text>
    </comment>
    <comment ref="F38" authorId="0" shapeId="0" xr:uid="{891CCBC9-6A58-4F28-B1DB-AF617AA02EAF}">
      <text>
        <r>
          <rPr>
            <b/>
            <sz val="9"/>
            <color indexed="81"/>
            <rFont val="Segoe UI"/>
            <family val="2"/>
          </rPr>
          <t>m1018707:</t>
        </r>
        <r>
          <rPr>
            <sz val="9"/>
            <color indexed="81"/>
            <rFont val="Segoe UI"/>
            <family val="2"/>
          </rPr>
          <t xml:space="preserve">
Escavação de valetas de ancoragem ambos lados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</author>
    <author>m1018707</author>
  </authors>
  <commentList>
    <comment ref="C23" authorId="0" shapeId="0" xr:uid="{96505EC0-94CC-437E-97FD-84F0BBCE7886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ITEM/REFERENCIA modificado por mudança na planilha</t>
        </r>
      </text>
    </comment>
    <comment ref="F23" authorId="1" shapeId="0" xr:uid="{613869D6-6670-464B-B0EE-C9F7B99F862D}">
      <text>
        <r>
          <rPr>
            <b/>
            <sz val="9"/>
            <color indexed="81"/>
            <rFont val="Segoe UI"/>
            <family val="2"/>
          </rPr>
          <t>m1018707:</t>
        </r>
        <r>
          <rPr>
            <sz val="9"/>
            <color indexed="81"/>
            <rFont val="Segoe UI"/>
            <family val="2"/>
          </rPr>
          <t xml:space="preserve">
Jazidas de empréstimo de material construtivo</t>
        </r>
      </text>
    </comment>
    <comment ref="F24" authorId="0" shapeId="0" xr:uid="{815544C7-70B8-4EC8-B8F4-356714C1263B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VOLUME RECALCULADO PARA NOVA CONFIGURAÇÃO DA BARRAGEM DESCONTANDO A VALA JÁ ESCAVADA.
1058,83M³ DA PRIMEIRA MEDIÇÃO (NÃO EMPOLADO)
</t>
        </r>
      </text>
    </comment>
    <comment ref="F25" authorId="0" shapeId="0" xr:uid="{014AFCD5-D362-4284-ABFD-B387EEF327A5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Igual ao total a ser escavado(descontando o que já foi pago) multiplicado pelo fator de empolamento de 1,19
</t>
        </r>
      </text>
    </comment>
    <comment ref="C29" authorId="0" shapeId="0" xr:uid="{E1C23857-1DF1-4E95-B14F-8CA9F60FB23D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ITEM/REFERENCIA modificado por mudança na planilha</t>
        </r>
      </text>
    </comment>
    <comment ref="C30" authorId="0" shapeId="0" xr:uid="{ACF1CE8E-4BC9-4A2E-8B44-95A9CA92B786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ITEM/REFERENCIA modificado por mudança na planilha</t>
        </r>
      </text>
    </comment>
    <comment ref="F35" authorId="0" shapeId="0" xr:uid="{30276325-0DC1-4267-8678-D9611F62AC88}">
      <text>
        <r>
          <rPr>
            <sz val="11"/>
            <color theme="1"/>
            <rFont val="Calibri"/>
            <family val="2"/>
            <scheme val="minor"/>
          </rPr>
          <t>JG/SEAPA: escavação de canal trecho lento 60 m seção 8,86 m² e profundidade 2,12 m</t>
        </r>
      </text>
    </comment>
    <comment ref="D37" authorId="1" shapeId="0" xr:uid="{9A521321-4217-4FA7-98CF-3D820F27CF59}">
      <text>
        <r>
          <rPr>
            <sz val="9"/>
            <color indexed="81"/>
            <rFont val="Segoe UI"/>
            <family val="2"/>
          </rPr>
          <t xml:space="preserve">JG/SEAPA: Escavação trecho rápido do canal, 120 m de comprimento. Incluído valetas de ancorágem da geomembrana.
 Ver memória de cálculo
</t>
        </r>
      </text>
    </comment>
    <comment ref="F38" authorId="1" shapeId="0" xr:uid="{6FE8BAC2-1E1B-4D8C-9C75-13BE42695AB3}">
      <text>
        <r>
          <rPr>
            <b/>
            <sz val="9"/>
            <color indexed="81"/>
            <rFont val="Segoe UI"/>
            <family val="2"/>
          </rPr>
          <t>m1018707:</t>
        </r>
        <r>
          <rPr>
            <sz val="9"/>
            <color indexed="81"/>
            <rFont val="Segoe UI"/>
            <family val="2"/>
          </rPr>
          <t xml:space="preserve">
Escavação de valetas de ancoragem ambos lados</t>
        </r>
      </text>
    </comment>
    <comment ref="C51" authorId="0" shapeId="0" xr:uid="{7D287893-3BEE-4E45-BD49-CC825B47665E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ITEM/REFERENCIA modificado por mudança na planilha</t>
        </r>
      </text>
    </comment>
    <comment ref="C60" authorId="0" shapeId="0" xr:uid="{5411F0B7-B9E4-4F1D-91BE-AF644500B051}">
      <text>
        <r>
          <rPr>
            <b/>
            <sz val="9"/>
            <color indexed="81"/>
            <rFont val="Segoe UI"/>
            <family val="2"/>
          </rPr>
          <t>Alvaro:</t>
        </r>
        <r>
          <rPr>
            <sz val="9"/>
            <color indexed="81"/>
            <rFont val="Segoe UI"/>
            <family val="2"/>
          </rPr>
          <t xml:space="preserve">
necessidade de criação de composição por exclusao de item anterior</t>
        </r>
      </text>
    </comment>
  </commentList>
</comments>
</file>

<file path=xl/sharedStrings.xml><?xml version="1.0" encoding="utf-8"?>
<sst xmlns="http://schemas.openxmlformats.org/spreadsheetml/2006/main" count="536" uniqueCount="226">
  <si>
    <t>PLANILHA DE CUSTO</t>
  </si>
  <si>
    <t>Referência:</t>
  </si>
  <si>
    <t>REGIÃO JEQUITINHONHA E MUCURI-SEINFRA</t>
  </si>
  <si>
    <t>Mês:</t>
  </si>
  <si>
    <t>SEINFRA: AGOSTO - 2023 // SINAPI OUTUBRO - 2023</t>
  </si>
  <si>
    <t>U.F.:</t>
  </si>
  <si>
    <t>MG</t>
  </si>
  <si>
    <t>ORÇAMENTO PARA CONSTRUÇÃO DE 01 (UMA) BARRAGEM</t>
  </si>
  <si>
    <r>
      <t>OBRA:</t>
    </r>
    <r>
      <rPr>
        <sz val="8"/>
        <rFont val="Arial"/>
        <family val="2"/>
      </rPr>
      <t xml:space="preserve"> CONSTRUÇÃO DE PEQUENAS BARRAGENS DE ACUMULAÇÃO</t>
    </r>
  </si>
  <si>
    <t>reserv.</t>
  </si>
  <si>
    <t>hectares</t>
  </si>
  <si>
    <t>BDI:</t>
  </si>
  <si>
    <r>
      <t>LOCAL:</t>
    </r>
    <r>
      <rPr>
        <sz val="8"/>
        <rFont val="Arial"/>
        <family val="2"/>
      </rPr>
      <t xml:space="preserve"> COMUNIDADE CÓRREGO GENTIO</t>
    </r>
  </si>
  <si>
    <r>
      <t xml:space="preserve">TIPO - </t>
    </r>
    <r>
      <rPr>
        <sz val="8"/>
        <rFont val="Arial"/>
        <family val="2"/>
      </rPr>
      <t>TERRA</t>
    </r>
  </si>
  <si>
    <t>compri.</t>
  </si>
  <si>
    <t>metros</t>
  </si>
  <si>
    <r>
      <t>MUNICÍPIO:</t>
    </r>
    <r>
      <rPr>
        <sz val="8"/>
        <rFont val="Arial"/>
        <family val="2"/>
      </rPr>
      <t xml:space="preserve"> TURMALINA - MG</t>
    </r>
  </si>
  <si>
    <t>talude montante</t>
  </si>
  <si>
    <t>H - 3</t>
  </si>
  <si>
    <t>talude jusante</t>
  </si>
  <si>
    <t>H - 2,5</t>
  </si>
  <si>
    <t>V - 1</t>
  </si>
  <si>
    <t>ITEM</t>
  </si>
  <si>
    <t>REFERÊNCIA</t>
  </si>
  <si>
    <t>CÓDIGO</t>
  </si>
  <si>
    <t>DESCRIÇÃO DOS SERVIÇOS</t>
  </si>
  <si>
    <t>UND.</t>
  </si>
  <si>
    <t>QUANT.</t>
  </si>
  <si>
    <t>R$</t>
  </si>
  <si>
    <t>UNITÁRIO COM BDI</t>
  </si>
  <si>
    <t>UNITÁRIO SEM BDI</t>
  </si>
  <si>
    <t>TOTAL</t>
  </si>
  <si>
    <t>INSTALAÇÕES INICIAIS DA OBRA</t>
  </si>
  <si>
    <t>1.1</t>
  </si>
  <si>
    <t>SEINFRA</t>
  </si>
  <si>
    <t>ED-28427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</si>
  <si>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</si>
  <si>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</t>
  </si>
  <si>
    <t>TOTAL DO ITEM 1:</t>
  </si>
  <si>
    <t>LIMPEZA DA ÁREA DE TRABALHO</t>
  </si>
  <si>
    <t>2.1</t>
  </si>
  <si>
    <t>RO-43333</t>
  </si>
  <si>
    <t>DESMATAMENTO, DESTOCAMENTO  ELIMPEZA DE ÁRVORES, ARBUSTOS E VEGETAÇÃO RASTEIRA. (EXECUÇÃO NA ESPESSURA DE ATÉ 30CM, INCLUINDO REMANEJAMENTO PARA FORA DA LINHA DE OFFSETS E ACERTO DO MATERIAL)</t>
  </si>
  <si>
    <t>m²</t>
  </si>
  <si>
    <t>2.2</t>
  </si>
  <si>
    <t xml:space="preserve">ED-51113 </t>
  </si>
  <si>
    <t>ESCAVAÇÃO MECÂNICA DE VALAS COM DESCARGA LATERAL 3,00 M &lt; H &lt;= 5,00 M  (CUT-OFF)</t>
  </si>
  <si>
    <r>
      <t>m</t>
    </r>
    <r>
      <rPr>
        <vertAlign val="superscript"/>
        <sz val="8"/>
        <rFont val="Arial"/>
        <family val="2"/>
      </rPr>
      <t>3</t>
    </r>
  </si>
  <si>
    <t>2.3</t>
  </si>
  <si>
    <t>ED-29229</t>
  </si>
  <si>
    <t>TRANSPORTE DE MATERIAL DE QUALQUER NATUREZA EM CAMINHÃO, DISTANCIA INFERIOR A 1 KM, EXCLUSIVE CARGA, INCLUSIVE DESCARGA (CUT-OFF)</t>
  </si>
  <si>
    <t>m³</t>
  </si>
  <si>
    <t>TOTAL DO ITEM 2:</t>
  </si>
  <si>
    <t>MACIÇO DA BARRAGEM</t>
  </si>
  <si>
    <t>3.1</t>
  </si>
  <si>
    <t xml:space="preserve">RO-40150 </t>
  </si>
  <si>
    <t>ESCAVAÇÃO,CARGA,DESCARGA,ESPALHAMENTOETRANSPORTEDEMATERIALDE1ªCATEGORIA,COMCAMINHÃO.DISTÂNCIAMÉDIA DE TRANSPORTE DE 401 A 600 M (CUT-OFF)</t>
  </si>
  <si>
    <t>3.2</t>
  </si>
  <si>
    <t>ESCAVAÇÃO, CARGA, DESCARGA, ESPALHAMENTO E TRANSPORTE DE MATERIAL DE 1ª CATEGORIA, COM CAMINHÃO. DISTÂNCIA MÉDIA DE TRANSPORTE DE 401 A 600 M (MACIÇO)</t>
  </si>
  <si>
    <t>3.3</t>
  </si>
  <si>
    <t xml:space="preserve">ED-51098 </t>
  </si>
  <si>
    <t>ATERRO COMPACTADO COM ROLO VIBRATÓRIO A 95% DO P.N. (MACIÇO)</t>
  </si>
  <si>
    <t>TOTAL DO ITEM 3:</t>
  </si>
  <si>
    <t>CANAL SANGRADOURO</t>
  </si>
  <si>
    <t>4.1</t>
  </si>
  <si>
    <t>ED-51116</t>
  </si>
  <si>
    <t>ESCAVAÇÃO MECÂNICA DE VALAS COM PROFUNDIDADE MAIOR QUE 1,5M E MENOR OU IGUAL 3,0M, INCLUSIVE CARGA EM CAMINHÃO, EXCLUSIVE TRANSPORTE E DESCARGA(CANAL TRECHO LENTO)</t>
  </si>
  <si>
    <t>4.2</t>
  </si>
  <si>
    <t>TRANSPORTE DE MATERIAL DE QUALQUER NATUREZA EM CAMINHÃO, DISTÂNCIA MENOR OU IGUAL A 1KM, DENTRO DO PERÍMETRO URBANO, EXCLUSIVE CARGA, INCLUSIVE DESCARGA</t>
  </si>
  <si>
    <t>4.3</t>
  </si>
  <si>
    <t>ED-51111</t>
  </si>
  <si>
    <r>
      <t xml:space="preserve">ESCAVAÇÃO MECÂNICA DE VALAS COM PROFUNDIDADE MENOR OU IGUAL A 1,5M, INCLUSIVE DESCARGA LATERAL, EXCLUSIVE
CARGA, TRANSPORTE E DESCARGA, PARA ANCORAGEM DA GEOMEMBRANA 1 MM </t>
    </r>
    <r>
      <rPr>
        <b/>
        <sz val="8"/>
        <rFont val="Arial"/>
        <family val="2"/>
      </rPr>
      <t>(CANAL TRECHO RÁPIDO)</t>
    </r>
  </si>
  <si>
    <t>4.4</t>
  </si>
  <si>
    <r>
      <t>ESCAVAÇÃO MECÂNICA DE VALAS COM PROFUNDIDADE MENOR OU IGUAL A 1,5M, INCLUSIVE DESCARGA LATERAL, EXCLUSIVE
CARGA, TRANSPORTE E DESCARGA(</t>
    </r>
    <r>
      <rPr>
        <b/>
        <sz val="8"/>
        <rFont val="Arial"/>
        <family val="2"/>
      </rPr>
      <t>VALAS DE ANCORAGEM)</t>
    </r>
  </si>
  <si>
    <t xml:space="preserve">VALETA 0,4X0,4X120 </t>
  </si>
  <si>
    <t>4.5</t>
  </si>
  <si>
    <t>ED-51121</t>
  </si>
  <si>
    <t>REATERRO MANUAL DE VALA, INCLUSIVE ESPALHAMENTO E COMPACTAÇÃO MECANIZADA COM PLACA VIBRATÓRIA</t>
  </si>
  <si>
    <t>4.6</t>
  </si>
  <si>
    <t>COTAÇÃO</t>
  </si>
  <si>
    <t>COT01</t>
  </si>
  <si>
    <r>
      <t xml:space="preserve">AQUISIÇÃO E INSTALAÇÃO DE GEOMEMBRANA DE POLIETILENO 1 MM DE ESPESSURA X 6 M DE LARGURA E </t>
    </r>
    <r>
      <rPr>
        <sz val="8"/>
        <color rgb="FFFF0000"/>
        <rFont val="Arial"/>
        <family val="2"/>
      </rPr>
      <t>124</t>
    </r>
    <r>
      <rPr>
        <sz val="8"/>
        <rFont val="Arial"/>
        <family val="2"/>
      </rPr>
      <t xml:space="preserve"> M DE COMPRIMENTO. EM 4 SEGMENTOS DE 31 METROS CADA UM</t>
    </r>
  </si>
  <si>
    <t>corrigir pelo preço do roçamento qual o valor com e sem BDI</t>
  </si>
  <si>
    <t>TOTAL DO ITEM 4:</t>
  </si>
  <si>
    <t>MATERIAIS E PEÇAS DO SIFÃO HIDRÁULICO</t>
  </si>
  <si>
    <t>5.1</t>
  </si>
  <si>
    <t>COT02</t>
  </si>
  <si>
    <t>ABRAÇADEIRA MSA BITOLA 5 3/8" a 5 7/8"</t>
  </si>
  <si>
    <t>UNID.</t>
  </si>
  <si>
    <t>5.2</t>
  </si>
  <si>
    <t>COT03</t>
  </si>
  <si>
    <t>ADAPTADOR SIMPLES TIPO ESPIGÃO PARA MANGOTE DE 5"</t>
  </si>
  <si>
    <t>5.3</t>
  </si>
  <si>
    <t>COT04</t>
  </si>
  <si>
    <t>VALVULA DE PÉ COM CRIVO EM FERRO FUNDIDO DE 5"</t>
  </si>
  <si>
    <t>5.4</t>
  </si>
  <si>
    <t>COT05</t>
  </si>
  <si>
    <t>MANGOTE DE SUCÇÃO SERIE KP - COR LARANJA 5" SERIE PESADA (ROLOS DE 50 M E 35 M)</t>
  </si>
  <si>
    <t>m</t>
  </si>
  <si>
    <t>5.5</t>
  </si>
  <si>
    <t>SINAPI-I</t>
  </si>
  <si>
    <t>LUVA SIMPLES GALVANIZADA DE 5"</t>
  </si>
  <si>
    <t>5.6</t>
  </si>
  <si>
    <t>TÊ GALVANIZADO 5" X 5"</t>
  </si>
  <si>
    <t>5.7</t>
  </si>
  <si>
    <t>REGISTRO DE GAVETA LATÃO DE 4"</t>
  </si>
  <si>
    <t>5.8</t>
  </si>
  <si>
    <t>NIPLE DUPLO GALVANIZADO DE 4"</t>
  </si>
  <si>
    <t>5.9</t>
  </si>
  <si>
    <t>LUVA DE REDUÇÃO GALVANIZADA DE 5" X 4"</t>
  </si>
  <si>
    <t>5.10</t>
  </si>
  <si>
    <t>BUCHA DE REDUÇÃO GALVANIZADA DE 5" X 4"</t>
  </si>
  <si>
    <t>5.11</t>
  </si>
  <si>
    <t>BUCHA DE REDUÇÃO GALVANIZADA DE 4" X 3"</t>
  </si>
  <si>
    <t xml:space="preserve">UNID. </t>
  </si>
  <si>
    <t>5.12</t>
  </si>
  <si>
    <t>COT06</t>
  </si>
  <si>
    <t>ROLO DE FITA TEFLON TIGRE 50 X18MM</t>
  </si>
  <si>
    <t>5.13</t>
  </si>
  <si>
    <t>BUJÃO GALVANIADO 3"</t>
  </si>
  <si>
    <t>5.14</t>
  </si>
  <si>
    <t>COT07</t>
  </si>
  <si>
    <t>CHAVE COMBINADA DA BITOLA DO SEXTAVADO DO BUJÃO GALVANIZADO 3"</t>
  </si>
  <si>
    <t>5.15</t>
  </si>
  <si>
    <t xml:space="preserve">TUBO DE SILICONE INCOLOR (256 GR) COM APLICADOR </t>
  </si>
  <si>
    <t>TOTAL ITEM 6</t>
  </si>
  <si>
    <t>ADMINISTRAÇÃO DE OBRAS</t>
  </si>
  <si>
    <t>6.1</t>
  </si>
  <si>
    <t>ED-50390</t>
  </si>
  <si>
    <t xml:space="preserve"> MOBILIZAÇÃO E DESMOBILIZAÇÃO OBRA
DISTANTE DE CENTRO URBANO COM ENTRE 1.000.000,01 E 3.000.000,00</t>
  </si>
  <si>
    <t>%</t>
  </si>
  <si>
    <t>Álvaro Cézar Carvalho - Consorcio CIM-JEQ</t>
  </si>
  <si>
    <t>238.090/D-MG</t>
  </si>
  <si>
    <t>Assinatura do Engenheiro responsável - Consorcio</t>
  </si>
  <si>
    <t>CREA</t>
  </si>
  <si>
    <t>Atualização financeira</t>
  </si>
  <si>
    <t xml:space="preserve">Preço anterior </t>
  </si>
  <si>
    <t>Valor do barramento corrigido com 20% deacrescimo</t>
  </si>
  <si>
    <t xml:space="preserve">Valor final necessário </t>
  </si>
  <si>
    <t>Turmalina</t>
  </si>
  <si>
    <t>Capelinha</t>
  </si>
  <si>
    <t xml:space="preserve">Valor em caixa </t>
  </si>
  <si>
    <t>VALOR A SER PAGO EM 1 ª MEDIÇÃO</t>
  </si>
  <si>
    <t>SALDO REMANESCENTE</t>
  </si>
  <si>
    <t>Valor do barramento corrigido para ultima dataBASE</t>
  </si>
  <si>
    <t>Valor final necessário CONSIDERANDO OS 20%</t>
  </si>
  <si>
    <t>SEINFRA: JANEIRO - 2024 // SINAPI MARÇO - 2024</t>
  </si>
  <si>
    <t>RO-00001</t>
  </si>
  <si>
    <t xml:space="preserve"> Desmatamento, destocamento, limpeza de área e
estocagem do material de limpeza com árvores de diâmetro até 0,15 m (
Exclui carga e transporte para bota-fora)</t>
  </si>
  <si>
    <t xml:space="preserve"> RO-00048 </t>
  </si>
  <si>
    <t>Escavação, carga e transporte de material de 1ª categoria - executado com escavadeira de 1,40 m3 e caminhão basculante de 12 m3 e com caminho de serviço em leito natural - DMT de 400 a 600 m (CUT-OFF)</t>
  </si>
  <si>
    <t>ED-51105</t>
  </si>
  <si>
    <t>Escavação, carga e transporte de material de 1ª categoria - executado com escavadeira de 1,40 m3 e caminhão basculante de 12 m3 e com caminho de serviço em leito natural - DMT de 400 a 600 m (MACIÇO)</t>
  </si>
  <si>
    <t>SILICONE ACETICO USO GERAL INCOLOR 280 G</t>
  </si>
  <si>
    <t>PROPRIA</t>
  </si>
  <si>
    <t>CPU 01</t>
  </si>
  <si>
    <t xml:space="preserve"> MOBILIZAÇÃO E DESMOBILIZAÇÃO ( ATE 200 KM)</t>
  </si>
  <si>
    <t>UM</t>
  </si>
  <si>
    <t>CONSÓRCIO INTEGRADO MULTIFINALITÁRIO DO VALE DO JEQUITINHONHA
CNPJ: 22.835.076/0001-70
RUA ZECA BRUNO, 131 - BAIRRO CAZUZA - DIMANTINA/MG  CEP: 39.100-000
TELEFONE: (38) 9 9990-1120     EMAIL: cimjequitinhonha.oficial@gmail.com          
==============================================================================</t>
  </si>
  <si>
    <t>CPU - COMPOSIÇÕES DE PREÇOS UNITÁRIOS</t>
  </si>
  <si>
    <r>
      <rPr>
        <b/>
        <sz val="9"/>
        <rFont val="Calibri"/>
        <family val="1"/>
      </rPr>
      <t>DESCRIÇÃO DO SERVIÇO</t>
    </r>
  </si>
  <si>
    <t>CPU - 01</t>
  </si>
  <si>
    <t xml:space="preserve">MOBILIZAÇÃO E DESMOBILIZAÇÃO DE EQUIPAMENTOS. </t>
  </si>
  <si>
    <t>UNIDADE:</t>
  </si>
  <si>
    <t>UN</t>
  </si>
  <si>
    <r>
      <rPr>
        <b/>
        <sz val="9"/>
        <rFont val="Calibri"/>
        <family val="1"/>
      </rPr>
      <t>CÓDIGO</t>
    </r>
  </si>
  <si>
    <r>
      <rPr>
        <b/>
        <sz val="9"/>
        <rFont val="Calibri"/>
        <family val="1"/>
      </rPr>
      <t>DESCRIÇÃO</t>
    </r>
  </si>
  <si>
    <r>
      <rPr>
        <b/>
        <sz val="9"/>
        <rFont val="Calibri"/>
        <family val="1"/>
      </rPr>
      <t>UNIDADE</t>
    </r>
  </si>
  <si>
    <r>
      <rPr>
        <b/>
        <sz val="9"/>
        <rFont val="Calibri"/>
        <family val="1"/>
      </rPr>
      <t>VALOR</t>
    </r>
  </si>
  <si>
    <t>COEFICIENTE</t>
  </si>
  <si>
    <r>
      <rPr>
        <b/>
        <sz val="9"/>
        <rFont val="Calibri"/>
        <family val="1"/>
      </rPr>
      <t>VALOR TOTAL</t>
    </r>
  </si>
  <si>
    <t>EQED-19708</t>
  </si>
  <si>
    <t>CAMINHÃO PLATAFORMA COM CARROCERIA CARGA SECA (TRAÇÃO:6X2|TIPO:TRUCADO|PESO*:23.000KG|COMPRIMENTO*:7,40M|LARGURA*: 2,50M|CAPACIDADE CARROCERIA:15T|POTÊNCIA: 230CV</t>
  </si>
  <si>
    <t>CHP</t>
  </si>
  <si>
    <t>EQRO-30093</t>
  </si>
  <si>
    <t>Motoniveladora Articulada capacidade de 100 a 145 HP</t>
  </si>
  <si>
    <t>CHI</t>
  </si>
  <si>
    <t>EQED-27730</t>
  </si>
  <si>
    <t>ROLO COMPACTADOR AUTOPROPELIDO (TIPO: PÉ DE CARNEIRO VIBRATÓRIO|POTÊNCIA: 111CV[82KW]| REFERÊNCIA: E9685 OU EQUIVALENTE| PESO: 11.600KG|OPERADOR: INCLUSO)</t>
  </si>
  <si>
    <t>EQRO-30633</t>
  </si>
  <si>
    <t>Trator de Pneus 4 x 4 Potencia de 81 a 90 HP</t>
  </si>
  <si>
    <t>EQRO-1556</t>
  </si>
  <si>
    <t>Retroescavadeira de pneus com capacidade de 1,00 m³ - 63 kW</t>
  </si>
  <si>
    <t>EQRO-1518</t>
  </si>
  <si>
    <t>Escavadeira hidráulica sobre esteiras com caçamba com capacidade de 1,40 m³ - 118 kW</t>
  </si>
  <si>
    <t>EQRO-1598</t>
  </si>
  <si>
    <t>Caminhão tanque com capacidade de 10.000 l - 188 kW</t>
  </si>
  <si>
    <t>EQRO-1579</t>
  </si>
  <si>
    <t>Caminhão basculante com caçamba estanque com capacidade de 12 m³ - 188 kW</t>
  </si>
  <si>
    <t>CUSTO UNITÁRIO HORIO</t>
  </si>
  <si>
    <r>
      <rPr>
        <b/>
        <sz val="6.5"/>
        <rFont val="Arial MT"/>
        <family val="2"/>
      </rPr>
      <t>Velocidade máxima (Vmáx) em rodovias =</t>
    </r>
  </si>
  <si>
    <r>
      <rPr>
        <b/>
        <sz val="6.5"/>
        <rFont val="Arial MT"/>
        <family val="2"/>
      </rPr>
      <t>Km/h</t>
    </r>
  </si>
  <si>
    <r>
      <rPr>
        <b/>
        <sz val="6.5"/>
        <rFont val="Arial MT"/>
        <family val="2"/>
      </rPr>
      <t>Data base</t>
    </r>
  </si>
  <si>
    <t>SEINFRA-01/24</t>
  </si>
  <si>
    <t>Velociadade média (Vméd) de percurso = 70% da Vmáx =</t>
  </si>
  <si>
    <r>
      <rPr>
        <b/>
        <sz val="6.5"/>
        <rFont val="Arial MT"/>
        <family val="2"/>
      </rPr>
      <t>Percurso (01 trecho) =</t>
    </r>
  </si>
  <si>
    <r>
      <rPr>
        <b/>
        <sz val="6.5"/>
        <rFont val="Arial MT"/>
        <family val="2"/>
      </rPr>
      <t>Km</t>
    </r>
  </si>
  <si>
    <r>
      <rPr>
        <b/>
        <sz val="6.5"/>
        <rFont val="Arial MT"/>
        <family val="2"/>
      </rPr>
      <t>Tempo total (ida) - Mobilização =</t>
    </r>
  </si>
  <si>
    <r>
      <rPr>
        <b/>
        <sz val="6.5"/>
        <rFont val="Arial MT"/>
        <family val="2"/>
      </rPr>
      <t>h</t>
    </r>
  </si>
  <si>
    <r>
      <rPr>
        <b/>
        <sz val="6.5"/>
        <rFont val="Arial MT"/>
        <family val="2"/>
      </rPr>
      <t>R$ Mob.</t>
    </r>
  </si>
  <si>
    <r>
      <rPr>
        <b/>
        <sz val="6.5"/>
        <rFont val="Arial MT"/>
        <family val="2"/>
      </rPr>
      <t>Tempo total (volta) - Desmobilização =</t>
    </r>
  </si>
  <si>
    <r>
      <rPr>
        <b/>
        <sz val="6.5"/>
        <rFont val="Arial MT"/>
        <family val="2"/>
      </rPr>
      <t>R$ Desmob.</t>
    </r>
  </si>
  <si>
    <t>CUSTO UNITÁRIO</t>
  </si>
  <si>
    <t>CRONOGRAMA FÍSICO-FINANCEIRO</t>
  </si>
  <si>
    <t>CONVENENTE: Consórcio Integrado Multifinalitário do Vale do Jequitinhonha</t>
  </si>
  <si>
    <t xml:space="preserve">VALOR DO CONVÊNIO: </t>
  </si>
  <si>
    <t>DATA: 15/05/2024</t>
  </si>
  <si>
    <t>OBRA: CONSTRUÇÃO DE PEQUENAS BARRAGENS DE ACUMULAÇÃO</t>
  </si>
  <si>
    <t>LOCAL: COMUNIDADE CÓRREGO GENTIO - TURMALINA</t>
  </si>
  <si>
    <t>PRAZO DA OBRA: 04 meses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</si>
  <si>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</si>
  <si>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</si>
  <si>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</si>
  <si>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</si>
  <si>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</si>
  <si>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</si>
  <si>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</si>
  <si>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</si>
  <si>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</si>
  <si>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</si>
  <si>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</si>
  <si>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</si>
  <si>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Observações:</t>
  </si>
  <si>
    <t xml:space="preserve">Assinatura do engenheiro/arquiteto/técnico em edificaçõe/técnico em estradas responsável </t>
  </si>
  <si>
    <t>CREA ou CAU</t>
  </si>
  <si>
    <t>Assinatura do Representante Legal do Consórcio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</si>
</sst>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0.0%"/>
    <numFmt numFmtId="166" formatCode="#,##0.000"/>
    <numFmt numFmtId="167" formatCode="_(&quot;R$ &quot;* #,##0.00_);_(&quot;R$ &quot;* \(#,##0.00\);_(&quot;R$ &quot;* &quot;-&quot;??_);_(@_)"/>
    <numFmt numFmtId="168" formatCode="&quot;R$&quot;\ #,##0.00"/>
    <numFmt numFmtId="169" formatCode="#,##0.00000"/>
    <numFmt numFmtId="170" formatCode="&quot;R$ 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Arial"/>
      <family val="2"/>
    </font>
    <font>
      <b/>
      <sz val="9"/>
      <name val="Calibri"/>
      <family val="2"/>
    </font>
    <font>
      <b/>
      <sz val="9"/>
      <name val="Calibri"/>
      <family val="1"/>
    </font>
    <font>
      <sz val="9"/>
      <name val="Calibri"/>
      <family val="2"/>
    </font>
    <font>
      <sz val="9"/>
      <color rgb="FF000000"/>
      <name val="Calibri"/>
      <family val="2"/>
    </font>
    <font>
      <b/>
      <sz val="6.5"/>
      <name val="Arial MT"/>
      <family val="2"/>
    </font>
    <font>
      <b/>
      <sz val="6.5"/>
      <color rgb="FF000000"/>
      <name val="Arial MT"/>
      <family val="2"/>
    </font>
    <font>
      <b/>
      <sz val="6.5"/>
      <name val="Arial MT"/>
    </font>
    <font>
      <b/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8"/>
      <name val="Arial Nova"/>
      <family val="2"/>
    </font>
    <font>
      <b/>
      <sz val="9"/>
      <name val="Arial Nova"/>
      <family val="2"/>
    </font>
    <font>
      <sz val="9"/>
      <name val="Arial Nova"/>
      <family val="2"/>
    </font>
    <font>
      <sz val="10"/>
      <name val="Arial Nova"/>
      <family val="2"/>
    </font>
    <font>
      <sz val="10"/>
      <color indexed="8"/>
      <name val="Arial Nova"/>
      <family val="2"/>
    </font>
    <font>
      <sz val="9"/>
      <color indexed="8"/>
      <name val="Arial Nova"/>
      <family val="2"/>
    </font>
    <font>
      <sz val="9"/>
      <color rgb="FFFF0000"/>
      <name val="Arial Nov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15" fillId="0" borderId="0"/>
    <xf numFmtId="0" fontId="3" fillId="0" borderId="0"/>
    <xf numFmtId="0" fontId="3" fillId="0" borderId="0"/>
  </cellStyleXfs>
  <cellXfs count="460">
    <xf numFmtId="0" fontId="0" fillId="0" borderId="0" xfId="0"/>
    <xf numFmtId="0" fontId="4" fillId="0" borderId="0" xfId="3" applyFont="1" applyAlignment="1">
      <alignment horizontal="center" vertical="center"/>
    </xf>
    <xf numFmtId="0" fontId="5" fillId="0" borderId="0" xfId="0" applyFont="1"/>
    <xf numFmtId="0" fontId="6" fillId="0" borderId="0" xfId="3" applyFont="1" applyAlignment="1">
      <alignment horizontal="center" vertical="center" wrapText="1"/>
    </xf>
    <xf numFmtId="0" fontId="6" fillId="2" borderId="4" xfId="3" applyFont="1" applyFill="1" applyBorder="1"/>
    <xf numFmtId="0" fontId="6" fillId="2" borderId="0" xfId="3" applyFont="1" applyFill="1"/>
    <xf numFmtId="0" fontId="6" fillId="2" borderId="0" xfId="3" applyFont="1" applyFill="1" applyAlignment="1">
      <alignment vertical="center" wrapText="1"/>
    </xf>
    <xf numFmtId="0" fontId="5" fillId="2" borderId="0" xfId="0" applyFont="1" applyFill="1"/>
    <xf numFmtId="0" fontId="5" fillId="2" borderId="5" xfId="0" applyFont="1" applyFill="1" applyBorder="1"/>
    <xf numFmtId="17" fontId="6" fillId="2" borderId="0" xfId="3" applyNumberFormat="1" applyFont="1" applyFill="1" applyAlignment="1">
      <alignment horizontal="left"/>
    </xf>
    <xf numFmtId="0" fontId="6" fillId="2" borderId="6" xfId="3" applyFont="1" applyFill="1" applyBorder="1"/>
    <xf numFmtId="0" fontId="6" fillId="2" borderId="7" xfId="3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7" fillId="2" borderId="5" xfId="3" applyFont="1" applyFill="1" applyBorder="1"/>
    <xf numFmtId="0" fontId="7" fillId="0" borderId="0" xfId="3" applyFont="1"/>
    <xf numFmtId="0" fontId="6" fillId="2" borderId="4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164" fontId="7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10" fontId="6" fillId="2" borderId="5" xfId="4" applyNumberFormat="1" applyFont="1" applyFill="1" applyBorder="1" applyAlignment="1" applyProtection="1">
      <alignment horizontal="center"/>
    </xf>
    <xf numFmtId="10" fontId="6" fillId="0" borderId="0" xfId="4" applyNumberFormat="1" applyFont="1" applyFill="1" applyBorder="1" applyAlignment="1" applyProtection="1">
      <alignment horizontal="center"/>
    </xf>
    <xf numFmtId="0" fontId="6" fillId="2" borderId="0" xfId="3" applyFont="1" applyFill="1" applyAlignment="1">
      <alignment horizontal="center" wrapText="1"/>
    </xf>
    <xf numFmtId="10" fontId="7" fillId="2" borderId="5" xfId="4" applyNumberFormat="1" applyFont="1" applyFill="1" applyBorder="1" applyAlignment="1" applyProtection="1">
      <alignment horizontal="center"/>
    </xf>
    <xf numFmtId="10" fontId="7" fillId="0" borderId="0" xfId="4" applyNumberFormat="1" applyFont="1" applyFill="1" applyBorder="1" applyAlignment="1" applyProtection="1">
      <alignment horizontal="center"/>
    </xf>
    <xf numFmtId="0" fontId="6" fillId="2" borderId="9" xfId="3" applyFont="1" applyFill="1" applyBorder="1"/>
    <xf numFmtId="0" fontId="6" fillId="2" borderId="10" xfId="3" applyFont="1" applyFill="1" applyBorder="1"/>
    <xf numFmtId="49" fontId="7" fillId="2" borderId="10" xfId="3" applyNumberFormat="1" applyFont="1" applyFill="1" applyBorder="1" applyAlignment="1">
      <alignment horizontal="center"/>
    </xf>
    <xf numFmtId="4" fontId="7" fillId="2" borderId="5" xfId="3" applyNumberFormat="1" applyFont="1" applyFill="1" applyBorder="1" applyAlignment="1">
      <alignment horizontal="center"/>
    </xf>
    <xf numFmtId="4" fontId="7" fillId="0" borderId="0" xfId="3" applyNumberFormat="1" applyFont="1" applyAlignment="1">
      <alignment horizont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0" fillId="2" borderId="18" xfId="0" applyFill="1" applyBorder="1"/>
    <xf numFmtId="0" fontId="6" fillId="2" borderId="19" xfId="3" applyFont="1" applyFill="1" applyBorder="1" applyAlignment="1">
      <alignment vertical="center" wrapText="1"/>
    </xf>
    <xf numFmtId="0" fontId="7" fillId="2" borderId="19" xfId="3" applyFont="1" applyFill="1" applyBorder="1" applyAlignment="1">
      <alignment horizontal="center" vertical="center" wrapText="1"/>
    </xf>
    <xf numFmtId="4" fontId="7" fillId="2" borderId="19" xfId="3" applyNumberFormat="1" applyFont="1" applyFill="1" applyBorder="1" applyAlignment="1">
      <alignment horizontal="center" vertical="center" wrapText="1"/>
    </xf>
    <xf numFmtId="43" fontId="7" fillId="2" borderId="20" xfId="1" applyFont="1" applyFill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left" vertical="center" wrapText="1"/>
    </xf>
    <xf numFmtId="4" fontId="6" fillId="2" borderId="19" xfId="3" applyNumberFormat="1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 wrapText="1"/>
    </xf>
    <xf numFmtId="43" fontId="6" fillId="2" borderId="20" xfId="1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vertical="top"/>
    </xf>
    <xf numFmtId="0" fontId="6" fillId="2" borderId="23" xfId="3" applyFont="1" applyFill="1" applyBorder="1" applyAlignment="1">
      <alignment vertical="top"/>
    </xf>
    <xf numFmtId="0" fontId="6" fillId="2" borderId="24" xfId="3" applyFont="1" applyFill="1" applyBorder="1" applyAlignment="1">
      <alignment horizontal="center" vertical="top" wrapText="1"/>
    </xf>
    <xf numFmtId="0" fontId="6" fillId="2" borderId="24" xfId="3" applyFont="1" applyFill="1" applyBorder="1" applyAlignment="1">
      <alignment vertical="top"/>
    </xf>
    <xf numFmtId="0" fontId="6" fillId="2" borderId="24" xfId="3" applyFont="1" applyFill="1" applyBorder="1" applyAlignment="1">
      <alignment horizontal="center"/>
    </xf>
    <xf numFmtId="4" fontId="6" fillId="2" borderId="24" xfId="3" applyNumberFormat="1" applyFont="1" applyFill="1" applyBorder="1" applyAlignment="1">
      <alignment horizontal="center"/>
    </xf>
    <xf numFmtId="4" fontId="6" fillId="2" borderId="25" xfId="3" applyNumberFormat="1" applyFont="1" applyFill="1" applyBorder="1" applyAlignment="1">
      <alignment horizontal="center"/>
    </xf>
    <xf numFmtId="0" fontId="6" fillId="2" borderId="19" xfId="3" applyFont="1" applyFill="1" applyBorder="1" applyAlignment="1">
      <alignment horizontal="center" vertical="center" wrapText="1"/>
    </xf>
    <xf numFmtId="4" fontId="7" fillId="2" borderId="19" xfId="3" applyNumberFormat="1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vertical="center" wrapText="1"/>
    </xf>
    <xf numFmtId="4" fontId="5" fillId="0" borderId="0" xfId="0" applyNumberFormat="1" applyFont="1"/>
    <xf numFmtId="0" fontId="7" fillId="2" borderId="17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vertical="center"/>
    </xf>
    <xf numFmtId="0" fontId="7" fillId="2" borderId="19" xfId="3" applyFont="1" applyFill="1" applyBorder="1" applyAlignment="1">
      <alignment horizontal="justify" vertical="center" wrapText="1"/>
    </xf>
    <xf numFmtId="0" fontId="7" fillId="2" borderId="17" xfId="3" applyFont="1" applyFill="1" applyBorder="1" applyAlignment="1">
      <alignment horizontal="justify" vertical="center" wrapText="1"/>
    </xf>
    <xf numFmtId="0" fontId="7" fillId="2" borderId="21" xfId="3" applyFont="1" applyFill="1" applyBorder="1" applyAlignment="1">
      <alignment horizontal="justify" vertical="center" wrapText="1"/>
    </xf>
    <xf numFmtId="0" fontId="6" fillId="2" borderId="19" xfId="3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vertical="center" wrapText="1"/>
    </xf>
    <xf numFmtId="0" fontId="7" fillId="2" borderId="24" xfId="3" applyFont="1" applyFill="1" applyBorder="1" applyAlignment="1">
      <alignment horizontal="center" vertical="center" wrapText="1"/>
    </xf>
    <xf numFmtId="4" fontId="7" fillId="2" borderId="24" xfId="3" applyNumberFormat="1" applyFont="1" applyFill="1" applyBorder="1" applyAlignment="1">
      <alignment horizontal="center" vertical="center" wrapText="1"/>
    </xf>
    <xf numFmtId="4" fontId="6" fillId="2" borderId="24" xfId="3" applyNumberFormat="1" applyFont="1" applyFill="1" applyBorder="1" applyAlignment="1">
      <alignment horizontal="center" vertical="center" wrapText="1"/>
    </xf>
    <xf numFmtId="43" fontId="6" fillId="2" borderId="25" xfId="1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 wrapText="1"/>
    </xf>
    <xf numFmtId="0" fontId="7" fillId="2" borderId="27" xfId="3" applyFont="1" applyFill="1" applyBorder="1" applyAlignment="1">
      <alignment vertical="center" wrapText="1"/>
    </xf>
    <xf numFmtId="4" fontId="7" fillId="2" borderId="27" xfId="3" applyNumberFormat="1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4" fontId="7" fillId="2" borderId="29" xfId="3" applyNumberFormat="1" applyFont="1" applyFill="1" applyBorder="1" applyAlignment="1">
      <alignment horizontal="center" vertical="center" wrapText="1"/>
    </xf>
    <xf numFmtId="4" fontId="6" fillId="2" borderId="29" xfId="3" applyNumberFormat="1" applyFont="1" applyFill="1" applyBorder="1" applyAlignment="1">
      <alignment horizontal="center" vertical="center" wrapText="1"/>
    </xf>
    <xf numFmtId="43" fontId="7" fillId="2" borderId="30" xfId="1" applyFont="1" applyFill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vertical="center" wrapText="1"/>
    </xf>
    <xf numFmtId="4" fontId="6" fillId="2" borderId="30" xfId="3" applyNumberFormat="1" applyFont="1" applyFill="1" applyBorder="1" applyAlignment="1">
      <alignment horizontal="right" vertical="center"/>
    </xf>
    <xf numFmtId="165" fontId="7" fillId="2" borderId="27" xfId="2" applyNumberFormat="1" applyFont="1" applyFill="1" applyBorder="1" applyAlignment="1">
      <alignment horizontal="center" vertical="center" wrapText="1"/>
    </xf>
    <xf numFmtId="43" fontId="7" fillId="2" borderId="19" xfId="1" applyFont="1" applyFill="1" applyBorder="1" applyAlignment="1">
      <alignment horizontal="center" vertical="center"/>
    </xf>
    <xf numFmtId="4" fontId="6" fillId="2" borderId="32" xfId="3" applyNumberFormat="1" applyFont="1" applyFill="1" applyBorder="1" applyAlignment="1">
      <alignment horizontal="center" vertical="center" wrapText="1"/>
    </xf>
    <xf numFmtId="166" fontId="7" fillId="2" borderId="27" xfId="3" applyNumberFormat="1" applyFont="1" applyFill="1" applyBorder="1" applyAlignment="1">
      <alignment horizontal="center" vertical="center" wrapText="1"/>
    </xf>
    <xf numFmtId="4" fontId="6" fillId="2" borderId="30" xfId="3" applyNumberFormat="1" applyFont="1" applyFill="1" applyBorder="1" applyAlignment="1">
      <alignment horizontal="center" vertical="center"/>
    </xf>
    <xf numFmtId="4" fontId="6" fillId="0" borderId="0" xfId="3" applyNumberFormat="1" applyFont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167" fontId="6" fillId="2" borderId="15" xfId="3" applyNumberFormat="1" applyFont="1" applyFill="1" applyBorder="1" applyAlignment="1">
      <alignment horizontal="center" vertical="center" wrapText="1"/>
    </xf>
    <xf numFmtId="167" fontId="6" fillId="3" borderId="0" xfId="3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" borderId="0" xfId="0" applyFont="1" applyFill="1"/>
    <xf numFmtId="43" fontId="10" fillId="2" borderId="0" xfId="0" applyNumberFormat="1" applyFont="1" applyFill="1"/>
    <xf numFmtId="43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7" fontId="12" fillId="0" borderId="42" xfId="0" applyNumberFormat="1" applyFont="1" applyBorder="1" applyAlignment="1">
      <alignment horizontal="center"/>
    </xf>
    <xf numFmtId="0" fontId="12" fillId="0" borderId="42" xfId="0" applyFont="1" applyBorder="1"/>
    <xf numFmtId="43" fontId="12" fillId="0" borderId="42" xfId="0" applyNumberFormat="1" applyFont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/>
    <xf numFmtId="0" fontId="6" fillId="0" borderId="4" xfId="3" applyFont="1" applyBorder="1"/>
    <xf numFmtId="0" fontId="6" fillId="0" borderId="0" xfId="3" applyFont="1"/>
    <xf numFmtId="0" fontId="6" fillId="0" borderId="0" xfId="3" applyFont="1" applyAlignment="1">
      <alignment vertical="center" wrapText="1"/>
    </xf>
    <xf numFmtId="0" fontId="5" fillId="0" borderId="5" xfId="0" applyFont="1" applyBorder="1"/>
    <xf numFmtId="17" fontId="6" fillId="4" borderId="0" xfId="3" applyNumberFormat="1" applyFont="1" applyFill="1" applyAlignment="1">
      <alignment horizontal="left"/>
    </xf>
    <xf numFmtId="0" fontId="6" fillId="0" borderId="6" xfId="3" applyFont="1" applyBorder="1"/>
    <xf numFmtId="0" fontId="6" fillId="0" borderId="7" xfId="3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5" xfId="3" applyFont="1" applyBorder="1"/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10" fontId="6" fillId="0" borderId="5" xfId="4" applyNumberFormat="1" applyFont="1" applyFill="1" applyBorder="1" applyAlignment="1" applyProtection="1">
      <alignment horizontal="center"/>
    </xf>
    <xf numFmtId="0" fontId="6" fillId="0" borderId="0" xfId="3" applyFont="1" applyAlignment="1">
      <alignment horizontal="center" wrapText="1"/>
    </xf>
    <xf numFmtId="10" fontId="7" fillId="0" borderId="5" xfId="4" applyNumberFormat="1" applyFont="1" applyFill="1" applyBorder="1" applyAlignment="1" applyProtection="1">
      <alignment horizontal="center"/>
    </xf>
    <xf numFmtId="0" fontId="6" fillId="0" borderId="9" xfId="3" applyFont="1" applyBorder="1"/>
    <xf numFmtId="0" fontId="6" fillId="0" borderId="10" xfId="3" applyFont="1" applyBorder="1"/>
    <xf numFmtId="49" fontId="7" fillId="0" borderId="10" xfId="3" applyNumberFormat="1" applyFont="1" applyBorder="1" applyAlignment="1">
      <alignment horizontal="center"/>
    </xf>
    <xf numFmtId="4" fontId="7" fillId="0" borderId="5" xfId="3" applyNumberFormat="1" applyFont="1" applyBorder="1" applyAlignment="1">
      <alignment horizontal="center"/>
    </xf>
    <xf numFmtId="0" fontId="6" fillId="0" borderId="13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0" fillId="0" borderId="18" xfId="0" applyBorder="1"/>
    <xf numFmtId="0" fontId="6" fillId="3" borderId="19" xfId="3" applyFont="1" applyFill="1" applyBorder="1" applyAlignment="1">
      <alignment vertical="center" wrapText="1"/>
    </xf>
    <xf numFmtId="0" fontId="7" fillId="0" borderId="19" xfId="3" applyFont="1" applyBorder="1" applyAlignment="1">
      <alignment horizontal="center" vertical="center" wrapText="1"/>
    </xf>
    <xf numFmtId="4" fontId="7" fillId="0" borderId="19" xfId="3" applyNumberFormat="1" applyFont="1" applyBorder="1" applyAlignment="1">
      <alignment horizontal="center" vertical="center" wrapText="1"/>
    </xf>
    <xf numFmtId="43" fontId="7" fillId="0" borderId="20" xfId="1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left" vertical="center" wrapText="1"/>
    </xf>
    <xf numFmtId="4" fontId="6" fillId="0" borderId="19" xfId="3" applyNumberFormat="1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6" fillId="0" borderId="19" xfId="3" applyFont="1" applyBorder="1" applyAlignment="1">
      <alignment vertical="center" wrapText="1"/>
    </xf>
    <xf numFmtId="43" fontId="6" fillId="3" borderId="20" xfId="1" applyFont="1" applyFill="1" applyBorder="1" applyAlignment="1">
      <alignment horizontal="center" vertical="center"/>
    </xf>
    <xf numFmtId="0" fontId="6" fillId="0" borderId="22" xfId="3" applyFont="1" applyBorder="1" applyAlignment="1">
      <alignment vertical="top"/>
    </xf>
    <xf numFmtId="0" fontId="6" fillId="0" borderId="23" xfId="3" applyFont="1" applyBorder="1" applyAlignment="1">
      <alignment vertical="top"/>
    </xf>
    <xf numFmtId="0" fontId="6" fillId="0" borderId="24" xfId="3" applyFont="1" applyBorder="1" applyAlignment="1">
      <alignment vertical="top"/>
    </xf>
    <xf numFmtId="0" fontId="6" fillId="0" borderId="24" xfId="3" applyFont="1" applyBorder="1" applyAlignment="1">
      <alignment horizontal="center"/>
    </xf>
    <xf numFmtId="4" fontId="6" fillId="0" borderId="24" xfId="3" applyNumberFormat="1" applyFont="1" applyBorder="1" applyAlignment="1">
      <alignment horizontal="center"/>
    </xf>
    <xf numFmtId="4" fontId="6" fillId="0" borderId="25" xfId="3" applyNumberFormat="1" applyFont="1" applyBorder="1" applyAlignment="1">
      <alignment horizontal="center"/>
    </xf>
    <xf numFmtId="4" fontId="7" fillId="0" borderId="19" xfId="3" applyNumberFormat="1" applyFont="1" applyBorder="1" applyAlignment="1">
      <alignment horizontal="center" vertical="center"/>
    </xf>
    <xf numFmtId="0" fontId="7" fillId="0" borderId="19" xfId="3" applyFont="1" applyBorder="1" applyAlignment="1">
      <alignment vertical="center" wrapText="1"/>
    </xf>
    <xf numFmtId="0" fontId="7" fillId="0" borderId="17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7" fillId="0" borderId="19" xfId="3" applyFont="1" applyBorder="1" applyAlignment="1">
      <alignment horizontal="justify" vertical="center" wrapText="1"/>
    </xf>
    <xf numFmtId="0" fontId="7" fillId="0" borderId="17" xfId="3" applyFont="1" applyBorder="1" applyAlignment="1">
      <alignment horizontal="justify" vertical="center" wrapText="1"/>
    </xf>
    <xf numFmtId="0" fontId="7" fillId="0" borderId="21" xfId="3" applyFont="1" applyBorder="1" applyAlignment="1">
      <alignment horizontal="justify" vertical="center" wrapText="1"/>
    </xf>
    <xf numFmtId="0" fontId="6" fillId="3" borderId="19" xfId="3" applyFont="1" applyFill="1" applyBorder="1" applyAlignment="1">
      <alignment horizontal="justify" vertical="center" wrapText="1"/>
    </xf>
    <xf numFmtId="43" fontId="7" fillId="0" borderId="20" xfId="1" applyFont="1" applyFill="1" applyBorder="1" applyAlignment="1">
      <alignment horizontal="center" vertical="center"/>
    </xf>
    <xf numFmtId="0" fontId="6" fillId="0" borderId="22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4" xfId="3" applyFont="1" applyBorder="1" applyAlignment="1">
      <alignment vertical="center" wrapText="1"/>
    </xf>
    <xf numFmtId="0" fontId="7" fillId="0" borderId="24" xfId="3" applyFont="1" applyBorder="1" applyAlignment="1">
      <alignment horizontal="center" vertical="center" wrapText="1"/>
    </xf>
    <xf numFmtId="4" fontId="7" fillId="0" borderId="24" xfId="3" applyNumberFormat="1" applyFont="1" applyBorder="1" applyAlignment="1">
      <alignment horizontal="center" vertical="center" wrapText="1"/>
    </xf>
    <xf numFmtId="4" fontId="6" fillId="0" borderId="24" xfId="3" applyNumberFormat="1" applyFont="1" applyBorder="1" applyAlignment="1">
      <alignment horizontal="center" vertical="center" wrapText="1"/>
    </xf>
    <xf numFmtId="43" fontId="6" fillId="3" borderId="25" xfId="1" applyFont="1" applyFill="1" applyBorder="1" applyAlignment="1">
      <alignment horizontal="center" vertical="center"/>
    </xf>
    <xf numFmtId="0" fontId="7" fillId="0" borderId="27" xfId="3" applyFont="1" applyBorder="1" applyAlignment="1">
      <alignment horizontal="center" vertical="center" wrapText="1"/>
    </xf>
    <xf numFmtId="0" fontId="7" fillId="0" borderId="27" xfId="3" applyFont="1" applyBorder="1" applyAlignment="1">
      <alignment vertical="center" wrapText="1"/>
    </xf>
    <xf numFmtId="4" fontId="7" fillId="0" borderId="27" xfId="3" applyNumberFormat="1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4" fontId="7" fillId="0" borderId="29" xfId="3" applyNumberFormat="1" applyFont="1" applyBorder="1" applyAlignment="1">
      <alignment horizontal="center" vertical="center" wrapText="1"/>
    </xf>
    <xf numFmtId="4" fontId="6" fillId="0" borderId="29" xfId="3" applyNumberFormat="1" applyFont="1" applyBorder="1" applyAlignment="1">
      <alignment horizontal="center" vertical="center" wrapText="1"/>
    </xf>
    <xf numFmtId="43" fontId="7" fillId="0" borderId="30" xfId="1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 wrapText="1"/>
    </xf>
    <xf numFmtId="0" fontId="6" fillId="0" borderId="27" xfId="3" applyFont="1" applyBorder="1" applyAlignment="1">
      <alignment vertical="center" wrapText="1"/>
    </xf>
    <xf numFmtId="4" fontId="6" fillId="3" borderId="30" xfId="3" applyNumberFormat="1" applyFont="1" applyFill="1" applyBorder="1" applyAlignment="1">
      <alignment horizontal="right" vertical="center"/>
    </xf>
    <xf numFmtId="0" fontId="6" fillId="3" borderId="27" xfId="3" applyFont="1" applyFill="1" applyBorder="1" applyAlignment="1">
      <alignment vertical="center" wrapText="1"/>
    </xf>
    <xf numFmtId="4" fontId="6" fillId="4" borderId="30" xfId="3" applyNumberFormat="1" applyFont="1" applyFill="1" applyBorder="1" applyAlignment="1">
      <alignment horizontal="right" vertical="center"/>
    </xf>
    <xf numFmtId="43" fontId="7" fillId="0" borderId="19" xfId="1" applyFont="1" applyBorder="1" applyAlignment="1">
      <alignment horizontal="center" vertical="center"/>
    </xf>
    <xf numFmtId="4" fontId="6" fillId="0" borderId="32" xfId="3" applyNumberFormat="1" applyFont="1" applyBorder="1" applyAlignment="1">
      <alignment horizontal="center" vertical="center" wrapText="1"/>
    </xf>
    <xf numFmtId="166" fontId="7" fillId="0" borderId="27" xfId="3" applyNumberFormat="1" applyFont="1" applyBorder="1" applyAlignment="1">
      <alignment horizontal="center" vertical="center" wrapText="1"/>
    </xf>
    <xf numFmtId="4" fontId="6" fillId="0" borderId="30" xfId="3" applyNumberFormat="1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 wrapText="1"/>
    </xf>
    <xf numFmtId="167" fontId="6" fillId="3" borderId="15" xfId="3" applyNumberFormat="1" applyFont="1" applyFill="1" applyBorder="1" applyAlignment="1">
      <alignment horizontal="center" vertical="center" wrapText="1"/>
    </xf>
    <xf numFmtId="0" fontId="16" fillId="0" borderId="0" xfId="5" applyFont="1" applyAlignment="1">
      <alignment horizontal="left" vertical="center"/>
    </xf>
    <xf numFmtId="0" fontId="16" fillId="0" borderId="0" xfId="5" applyFont="1" applyAlignment="1">
      <alignment horizontal="left" vertical="center" wrapText="1"/>
    </xf>
    <xf numFmtId="164" fontId="7" fillId="0" borderId="0" xfId="3" applyNumberFormat="1" applyFont="1"/>
    <xf numFmtId="0" fontId="6" fillId="0" borderId="0" xfId="3" applyFont="1" applyAlignment="1">
      <alignment wrapText="1"/>
    </xf>
    <xf numFmtId="0" fontId="6" fillId="0" borderId="7" xfId="3" applyFont="1" applyBorder="1" applyAlignment="1">
      <alignment wrapText="1"/>
    </xf>
    <xf numFmtId="49" fontId="7" fillId="0" borderId="7" xfId="3" applyNumberFormat="1" applyFont="1" applyBorder="1" applyAlignment="1">
      <alignment horizontal="center"/>
    </xf>
    <xf numFmtId="4" fontId="7" fillId="0" borderId="8" xfId="3" applyNumberFormat="1" applyFont="1" applyBorder="1" applyAlignment="1">
      <alignment horizontal="center"/>
    </xf>
    <xf numFmtId="0" fontId="19" fillId="3" borderId="42" xfId="5" applyFont="1" applyFill="1" applyBorder="1" applyAlignment="1">
      <alignment horizontal="center" vertical="center" wrapText="1"/>
    </xf>
    <xf numFmtId="0" fontId="20" fillId="3" borderId="43" xfId="5" applyFont="1" applyFill="1" applyBorder="1" applyAlignment="1">
      <alignment horizontal="center" vertical="center" wrapText="1"/>
    </xf>
    <xf numFmtId="0" fontId="18" fillId="0" borderId="60" xfId="5" applyFont="1" applyBorder="1" applyAlignment="1">
      <alignment horizontal="center" vertical="center" wrapText="1"/>
    </xf>
    <xf numFmtId="0" fontId="18" fillId="0" borderId="60" xfId="5" applyFont="1" applyBorder="1" applyAlignment="1">
      <alignment horizontal="left" vertical="center" wrapText="1"/>
    </xf>
    <xf numFmtId="0" fontId="19" fillId="0" borderId="60" xfId="5" applyFont="1" applyBorder="1" applyAlignment="1">
      <alignment horizontal="center" vertical="center" wrapText="1"/>
    </xf>
    <xf numFmtId="0" fontId="18" fillId="0" borderId="61" xfId="5" applyFont="1" applyBorder="1" applyAlignment="1">
      <alignment horizontal="left" vertical="center" wrapText="1"/>
    </xf>
    <xf numFmtId="0" fontId="20" fillId="0" borderId="42" xfId="5" applyFont="1" applyBorder="1" applyAlignment="1">
      <alignment horizontal="right" vertical="center" wrapText="1"/>
    </xf>
    <xf numFmtId="0" fontId="20" fillId="0" borderId="42" xfId="5" applyFont="1" applyBorder="1" applyAlignment="1">
      <alignment vertical="center" wrapText="1"/>
    </xf>
    <xf numFmtId="0" fontId="20" fillId="0" borderId="42" xfId="5" applyFont="1" applyBorder="1" applyAlignment="1">
      <alignment horizontal="left" vertical="center" wrapText="1"/>
    </xf>
    <xf numFmtId="0" fontId="20" fillId="0" borderId="42" xfId="5" applyFont="1" applyBorder="1" applyAlignment="1">
      <alignment horizontal="center" vertical="center" wrapText="1"/>
    </xf>
    <xf numFmtId="168" fontId="20" fillId="0" borderId="42" xfId="5" applyNumberFormat="1" applyFont="1" applyBorder="1" applyAlignment="1">
      <alignment horizontal="center" vertical="center" wrapText="1"/>
    </xf>
    <xf numFmtId="169" fontId="21" fillId="0" borderId="42" xfId="5" applyNumberFormat="1" applyFont="1" applyBorder="1" applyAlignment="1">
      <alignment horizontal="center" vertical="center" shrinkToFit="1"/>
    </xf>
    <xf numFmtId="168" fontId="20" fillId="0" borderId="42" xfId="5" applyNumberFormat="1" applyFont="1" applyBorder="1" applyAlignment="1">
      <alignment horizontal="right" vertical="center" wrapText="1"/>
    </xf>
    <xf numFmtId="168" fontId="18" fillId="0" borderId="65" xfId="5" applyNumberFormat="1" applyFont="1" applyBorder="1" applyAlignment="1">
      <alignment horizontal="right" vertical="center" wrapText="1"/>
    </xf>
    <xf numFmtId="1" fontId="23" fillId="5" borderId="66" xfId="6" applyNumberFormat="1" applyFont="1" applyFill="1" applyBorder="1" applyAlignment="1">
      <alignment horizontal="right" vertical="top" shrinkToFit="1"/>
    </xf>
    <xf numFmtId="0" fontId="24" fillId="5" borderId="66" xfId="6" applyFont="1" applyFill="1" applyBorder="1" applyAlignment="1">
      <alignment horizontal="left" vertical="top" wrapText="1"/>
    </xf>
    <xf numFmtId="0" fontId="22" fillId="5" borderId="42" xfId="6" applyFont="1" applyFill="1" applyBorder="1" applyAlignment="1">
      <alignment horizontal="center" vertical="top" wrapText="1"/>
    </xf>
    <xf numFmtId="1" fontId="23" fillId="5" borderId="42" xfId="6" applyNumberFormat="1" applyFont="1" applyFill="1" applyBorder="1" applyAlignment="1">
      <alignment horizontal="right" vertical="top" shrinkToFit="1"/>
    </xf>
    <xf numFmtId="0" fontId="24" fillId="5" borderId="42" xfId="6" applyFont="1" applyFill="1" applyBorder="1" applyAlignment="1">
      <alignment horizontal="left" vertical="top" wrapText="1"/>
    </xf>
    <xf numFmtId="2" fontId="23" fillId="5" borderId="42" xfId="6" applyNumberFormat="1" applyFont="1" applyFill="1" applyBorder="1" applyAlignment="1">
      <alignment horizontal="right" vertical="top" shrinkToFit="1"/>
    </xf>
    <xf numFmtId="4" fontId="23" fillId="5" borderId="42" xfId="6" applyNumberFormat="1" applyFont="1" applyFill="1" applyBorder="1" applyAlignment="1">
      <alignment horizontal="right" vertical="top" shrinkToFit="1"/>
    </xf>
    <xf numFmtId="168" fontId="26" fillId="0" borderId="68" xfId="5" applyNumberFormat="1" applyFont="1" applyBorder="1" applyAlignment="1">
      <alignment horizontal="right" vertical="center" wrapText="1"/>
    </xf>
    <xf numFmtId="0" fontId="27" fillId="6" borderId="0" xfId="7" applyFont="1" applyFill="1"/>
    <xf numFmtId="0" fontId="28" fillId="0" borderId="69" xfId="6" applyFont="1" applyBorder="1" applyAlignment="1">
      <alignment vertical="center" wrapText="1"/>
    </xf>
    <xf numFmtId="0" fontId="28" fillId="0" borderId="37" xfId="6" applyFont="1" applyBorder="1" applyAlignment="1">
      <alignment vertical="center" wrapText="1"/>
    </xf>
    <xf numFmtId="0" fontId="28" fillId="0" borderId="70" xfId="6" applyFont="1" applyBorder="1" applyAlignment="1">
      <alignment vertical="center" wrapText="1"/>
    </xf>
    <xf numFmtId="0" fontId="28" fillId="0" borderId="26" xfId="6" applyFont="1" applyBorder="1" applyAlignment="1">
      <alignment vertical="center" wrapText="1"/>
    </xf>
    <xf numFmtId="0" fontId="28" fillId="0" borderId="0" xfId="6" applyFont="1" applyAlignment="1">
      <alignment vertical="center" wrapText="1"/>
    </xf>
    <xf numFmtId="0" fontId="28" fillId="0" borderId="71" xfId="6" applyFont="1" applyBorder="1" applyAlignment="1">
      <alignment vertical="center" wrapText="1"/>
    </xf>
    <xf numFmtId="0" fontId="29" fillId="0" borderId="26" xfId="6" applyFont="1" applyBorder="1" applyAlignment="1">
      <alignment vertical="center"/>
    </xf>
    <xf numFmtId="0" fontId="30" fillId="0" borderId="26" xfId="6" applyFont="1" applyBorder="1" applyAlignment="1">
      <alignment vertical="center"/>
    </xf>
    <xf numFmtId="0" fontId="30" fillId="0" borderId="0" xfId="6" applyFont="1" applyAlignment="1">
      <alignment vertical="center"/>
    </xf>
    <xf numFmtId="0" fontId="30" fillId="0" borderId="71" xfId="6" applyFont="1" applyBorder="1" applyAlignment="1">
      <alignment vertical="center"/>
    </xf>
    <xf numFmtId="0" fontId="31" fillId="0" borderId="26" xfId="6" applyFont="1" applyBorder="1" applyAlignment="1">
      <alignment vertical="center"/>
    </xf>
    <xf numFmtId="0" fontId="32" fillId="0" borderId="0" xfId="6" applyFont="1" applyAlignment="1">
      <alignment vertical="center"/>
    </xf>
    <xf numFmtId="0" fontId="31" fillId="0" borderId="0" xfId="6" applyFont="1" applyAlignment="1">
      <alignment vertical="center"/>
    </xf>
    <xf numFmtId="4" fontId="31" fillId="0" borderId="71" xfId="6" applyNumberFormat="1" applyFont="1" applyBorder="1" applyAlignment="1">
      <alignment vertical="center"/>
    </xf>
    <xf numFmtId="0" fontId="31" fillId="0" borderId="71" xfId="6" applyFont="1" applyBorder="1" applyAlignment="1">
      <alignment vertical="center"/>
    </xf>
    <xf numFmtId="0" fontId="29" fillId="0" borderId="0" xfId="6" applyFont="1" applyAlignment="1">
      <alignment vertical="center"/>
    </xf>
    <xf numFmtId="0" fontId="29" fillId="0" borderId="71" xfId="6" applyFont="1" applyBorder="1" applyAlignment="1">
      <alignment vertical="center"/>
    </xf>
    <xf numFmtId="0" fontId="33" fillId="0" borderId="0" xfId="6" applyFont="1" applyAlignment="1">
      <alignment vertical="center"/>
    </xf>
    <xf numFmtId="0" fontId="34" fillId="0" borderId="0" xfId="6" applyFont="1" applyAlignment="1">
      <alignment horizontal="center" vertical="center"/>
    </xf>
    <xf numFmtId="4" fontId="30" fillId="0" borderId="71" xfId="6" applyNumberFormat="1" applyFont="1" applyBorder="1" applyAlignment="1">
      <alignment vertical="center"/>
    </xf>
    <xf numFmtId="0" fontId="32" fillId="0" borderId="72" xfId="6" applyFont="1" applyBorder="1" applyAlignment="1">
      <alignment vertical="center"/>
    </xf>
    <xf numFmtId="0" fontId="32" fillId="0" borderId="36" xfId="6" applyFont="1" applyBorder="1" applyAlignment="1">
      <alignment vertical="center"/>
    </xf>
    <xf numFmtId="4" fontId="32" fillId="0" borderId="73" xfId="6" applyNumberFormat="1" applyFont="1" applyBorder="1" applyAlignment="1">
      <alignment vertical="center"/>
    </xf>
    <xf numFmtId="0" fontId="36" fillId="6" borderId="78" xfId="0" applyFont="1" applyFill="1" applyBorder="1" applyAlignment="1">
      <alignment vertical="center"/>
    </xf>
    <xf numFmtId="0" fontId="2" fillId="0" borderId="0" xfId="0" applyFont="1"/>
    <xf numFmtId="0" fontId="37" fillId="6" borderId="38" xfId="0" applyFont="1" applyFill="1" applyBorder="1" applyAlignment="1">
      <alignment horizontal="center" vertical="center"/>
    </xf>
    <xf numFmtId="0" fontId="37" fillId="6" borderId="79" xfId="0" applyFont="1" applyFill="1" applyBorder="1" applyAlignment="1">
      <alignment horizontal="center" vertical="center"/>
    </xf>
    <xf numFmtId="0" fontId="37" fillId="6" borderId="39" xfId="0" applyFont="1" applyFill="1" applyBorder="1" applyAlignment="1">
      <alignment horizontal="center" vertical="center" wrapText="1"/>
    </xf>
    <xf numFmtId="0" fontId="37" fillId="6" borderId="39" xfId="0" applyFont="1" applyFill="1" applyBorder="1" applyAlignment="1">
      <alignment horizontal="center" vertical="center"/>
    </xf>
    <xf numFmtId="0" fontId="37" fillId="6" borderId="40" xfId="0" applyFont="1" applyFill="1" applyBorder="1" applyAlignment="1">
      <alignment horizontal="center" vertical="center"/>
    </xf>
    <xf numFmtId="49" fontId="39" fillId="6" borderId="89" xfId="0" applyNumberFormat="1" applyFont="1" applyFill="1" applyBorder="1" applyAlignment="1">
      <alignment horizontal="center" vertical="top" wrapText="1"/>
    </xf>
    <xf numFmtId="10" fontId="38" fillId="6" borderId="89" xfId="0" applyNumberFormat="1" applyFont="1" applyFill="1" applyBorder="1" applyAlignment="1">
      <alignment vertical="top" wrapText="1"/>
    </xf>
    <xf numFmtId="10" fontId="38" fillId="6" borderId="89" xfId="1" applyNumberFormat="1" applyFont="1" applyFill="1" applyBorder="1" applyAlignment="1">
      <alignment vertical="top" wrapText="1"/>
    </xf>
    <xf numFmtId="10" fontId="38" fillId="6" borderId="90" xfId="0" applyNumberFormat="1" applyFont="1" applyFill="1" applyBorder="1" applyAlignment="1">
      <alignment vertical="top" wrapText="1"/>
    </xf>
    <xf numFmtId="10" fontId="0" fillId="0" borderId="0" xfId="0" applyNumberFormat="1"/>
    <xf numFmtId="49" fontId="39" fillId="6" borderId="93" xfId="0" applyNumberFormat="1" applyFont="1" applyFill="1" applyBorder="1" applyAlignment="1">
      <alignment horizontal="center" vertical="top" wrapText="1"/>
    </xf>
    <xf numFmtId="170" fontId="39" fillId="6" borderId="93" xfId="0" applyNumberFormat="1" applyFont="1" applyFill="1" applyBorder="1" applyAlignment="1">
      <alignment vertical="top" wrapText="1"/>
    </xf>
    <xf numFmtId="170" fontId="39" fillId="6" borderId="94" xfId="0" applyNumberFormat="1" applyFont="1" applyFill="1" applyBorder="1" applyAlignment="1">
      <alignment vertical="top" wrapText="1"/>
    </xf>
    <xf numFmtId="170" fontId="0" fillId="0" borderId="0" xfId="0" applyNumberFormat="1"/>
    <xf numFmtId="0" fontId="0" fillId="0" borderId="70" xfId="0" applyBorder="1"/>
    <xf numFmtId="49" fontId="38" fillId="6" borderId="98" xfId="0" applyNumberFormat="1" applyFont="1" applyFill="1" applyBorder="1" applyAlignment="1">
      <alignment horizontal="center" vertical="top" wrapText="1"/>
    </xf>
    <xf numFmtId="10" fontId="38" fillId="6" borderId="98" xfId="0" applyNumberFormat="1" applyFont="1" applyFill="1" applyBorder="1" applyAlignment="1">
      <alignment vertical="top" wrapText="1"/>
    </xf>
    <xf numFmtId="10" fontId="38" fillId="6" borderId="99" xfId="0" applyNumberFormat="1" applyFont="1" applyFill="1" applyBorder="1" applyAlignment="1">
      <alignment vertical="top" wrapText="1"/>
    </xf>
    <xf numFmtId="0" fontId="37" fillId="6" borderId="74" xfId="0" applyFont="1" applyFill="1" applyBorder="1" applyAlignment="1">
      <alignment vertical="center" wrapText="1"/>
    </xf>
    <xf numFmtId="49" fontId="38" fillId="6" borderId="100" xfId="0" applyNumberFormat="1" applyFont="1" applyFill="1" applyBorder="1" applyAlignment="1">
      <alignment horizontal="center" vertical="top" wrapText="1"/>
    </xf>
    <xf numFmtId="170" fontId="38" fillId="6" borderId="100" xfId="0" applyNumberFormat="1" applyFont="1" applyFill="1" applyBorder="1" applyAlignment="1">
      <alignment vertical="top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25" fillId="6" borderId="1" xfId="0" applyFont="1" applyFill="1" applyBorder="1" applyAlignment="1">
      <alignment wrapText="1"/>
    </xf>
    <xf numFmtId="0" fontId="25" fillId="6" borderId="2" xfId="0" applyFont="1" applyFill="1" applyBorder="1" applyAlignment="1">
      <alignment wrapText="1"/>
    </xf>
    <xf numFmtId="0" fontId="25" fillId="6" borderId="50" xfId="0" applyFont="1" applyFill="1" applyBorder="1" applyAlignment="1">
      <alignment wrapText="1"/>
    </xf>
    <xf numFmtId="0" fontId="0" fillId="6" borderId="49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3" fillId="6" borderId="0" xfId="0" applyFont="1" applyFill="1"/>
    <xf numFmtId="0" fontId="25" fillId="6" borderId="4" xfId="0" applyFont="1" applyFill="1" applyBorder="1" applyAlignment="1">
      <alignment wrapText="1"/>
    </xf>
    <xf numFmtId="0" fontId="25" fillId="6" borderId="0" xfId="0" applyFont="1" applyFill="1" applyAlignment="1">
      <alignment wrapText="1"/>
    </xf>
    <xf numFmtId="0" fontId="25" fillId="6" borderId="71" xfId="0" applyFont="1" applyFill="1" applyBorder="1" applyAlignment="1">
      <alignment wrapText="1"/>
    </xf>
    <xf numFmtId="0" fontId="0" fillId="6" borderId="26" xfId="0" applyFill="1" applyBorder="1"/>
    <xf numFmtId="0" fontId="0" fillId="6" borderId="5" xfId="0" applyFill="1" applyBorder="1"/>
    <xf numFmtId="0" fontId="0" fillId="0" borderId="36" xfId="0" applyBorder="1" applyAlignment="1">
      <alignment vertical="center"/>
    </xf>
    <xf numFmtId="0" fontId="25" fillId="6" borderId="36" xfId="0" applyFont="1" applyFill="1" applyBorder="1" applyAlignment="1">
      <alignment wrapText="1"/>
    </xf>
    <xf numFmtId="0" fontId="0" fillId="0" borderId="71" xfId="0" applyBorder="1" applyAlignment="1">
      <alignment vertical="center"/>
    </xf>
    <xf numFmtId="0" fontId="25" fillId="6" borderId="26" xfId="0" applyFont="1" applyFill="1" applyBorder="1"/>
    <xf numFmtId="0" fontId="27" fillId="6" borderId="5" xfId="0" applyFont="1" applyFill="1" applyBorder="1"/>
    <xf numFmtId="0" fontId="25" fillId="6" borderId="4" xfId="0" applyFont="1" applyFill="1" applyBorder="1"/>
    <xf numFmtId="0" fontId="0" fillId="6" borderId="0" xfId="0" applyFill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3" fillId="6" borderId="4" xfId="0" applyFont="1" applyFill="1" applyBorder="1"/>
    <xf numFmtId="0" fontId="0" fillId="6" borderId="71" xfId="0" applyFill="1" applyBorder="1"/>
    <xf numFmtId="0" fontId="17" fillId="6" borderId="4" xfId="0" applyFont="1" applyFill="1" applyBorder="1"/>
    <xf numFmtId="0" fontId="17" fillId="6" borderId="0" xfId="0" applyFont="1" applyFill="1" applyAlignment="1">
      <alignment wrapText="1"/>
    </xf>
    <xf numFmtId="0" fontId="25" fillId="6" borderId="0" xfId="0" applyFont="1" applyFill="1" applyAlignment="1">
      <alignment horizontal="right"/>
    </xf>
    <xf numFmtId="0" fontId="27" fillId="6" borderId="6" xfId="0" applyFont="1" applyFill="1" applyBorder="1"/>
    <xf numFmtId="0" fontId="27" fillId="6" borderId="7" xfId="0" applyFont="1" applyFill="1" applyBorder="1" applyAlignment="1">
      <alignment wrapText="1"/>
    </xf>
    <xf numFmtId="0" fontId="0" fillId="6" borderId="7" xfId="0" applyFill="1" applyBorder="1"/>
    <xf numFmtId="0" fontId="0" fillId="6" borderId="101" xfId="0" applyFill="1" applyBorder="1"/>
    <xf numFmtId="0" fontId="0" fillId="6" borderId="102" xfId="0" applyFill="1" applyBorder="1"/>
    <xf numFmtId="0" fontId="0" fillId="6" borderId="8" xfId="0" applyFill="1" applyBorder="1"/>
    <xf numFmtId="0" fontId="6" fillId="0" borderId="24" xfId="3" applyFont="1" applyBorder="1" applyAlignment="1">
      <alignment horizontal="center" vertical="top" wrapText="1"/>
    </xf>
    <xf numFmtId="0" fontId="6" fillId="0" borderId="19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167" fontId="11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7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6" fillId="2" borderId="0" xfId="3" applyFont="1" applyFill="1" applyAlignment="1">
      <alignment horizontal="center" wrapText="1"/>
    </xf>
    <xf numFmtId="0" fontId="6" fillId="2" borderId="10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3" borderId="33" xfId="3" applyFont="1" applyFill="1" applyBorder="1" applyAlignment="1">
      <alignment horizontal="center" vertical="center" wrapText="1"/>
    </xf>
    <xf numFmtId="0" fontId="6" fillId="3" borderId="34" xfId="3" applyFont="1" applyFill="1" applyBorder="1" applyAlignment="1">
      <alignment horizontal="center" vertical="center" wrapText="1"/>
    </xf>
    <xf numFmtId="0" fontId="6" fillId="3" borderId="35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18" fillId="0" borderId="42" xfId="5" applyFont="1" applyBorder="1" applyAlignment="1">
      <alignment horizontal="left" vertical="center" wrapText="1"/>
    </xf>
    <xf numFmtId="0" fontId="26" fillId="0" borderId="62" xfId="5" applyFont="1" applyBorder="1" applyAlignment="1">
      <alignment horizontal="right" vertical="center" wrapText="1"/>
    </xf>
    <xf numFmtId="0" fontId="26" fillId="0" borderId="63" xfId="5" applyFont="1" applyBorder="1" applyAlignment="1">
      <alignment horizontal="right" vertical="center" wrapText="1"/>
    </xf>
    <xf numFmtId="0" fontId="26" fillId="0" borderId="67" xfId="5" applyFont="1" applyBorder="1" applyAlignment="1">
      <alignment horizontal="right" vertical="center" wrapText="1"/>
    </xf>
    <xf numFmtId="0" fontId="18" fillId="0" borderId="62" xfId="5" applyFont="1" applyBorder="1" applyAlignment="1">
      <alignment horizontal="right" vertical="center" wrapText="1"/>
    </xf>
    <xf numFmtId="0" fontId="18" fillId="0" borderId="63" xfId="5" applyFont="1" applyBorder="1" applyAlignment="1">
      <alignment horizontal="right" vertical="center" wrapText="1"/>
    </xf>
    <xf numFmtId="0" fontId="18" fillId="0" borderId="64" xfId="5" applyFont="1" applyBorder="1" applyAlignment="1">
      <alignment horizontal="right" vertical="center" wrapText="1"/>
    </xf>
    <xf numFmtId="0" fontId="18" fillId="0" borderId="66" xfId="5" applyFont="1" applyBorder="1" applyAlignment="1">
      <alignment horizontal="left" vertical="center" wrapText="1"/>
    </xf>
    <xf numFmtId="0" fontId="22" fillId="0" borderId="42" xfId="5" applyFont="1" applyBorder="1" applyAlignment="1">
      <alignment horizontal="left" vertical="center" wrapText="1"/>
    </xf>
    <xf numFmtId="0" fontId="25" fillId="0" borderId="42" xfId="6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17" fillId="0" borderId="49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7" fillId="0" borderId="50" xfId="5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6" fillId="0" borderId="0" xfId="3" applyFont="1" applyAlignment="1">
      <alignment horizontal="left"/>
    </xf>
    <xf numFmtId="0" fontId="16" fillId="0" borderId="0" xfId="5" applyFont="1" applyAlignment="1">
      <alignment horizontal="left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0" fontId="18" fillId="0" borderId="3" xfId="5" applyFont="1" applyBorder="1" applyAlignment="1">
      <alignment horizontal="center" vertical="center" wrapText="1"/>
    </xf>
    <xf numFmtId="0" fontId="19" fillId="3" borderId="51" xfId="5" applyFont="1" applyFill="1" applyBorder="1" applyAlignment="1">
      <alignment horizontal="center" vertical="center" wrapText="1"/>
    </xf>
    <xf numFmtId="0" fontId="18" fillId="3" borderId="52" xfId="5" applyFont="1" applyFill="1" applyBorder="1" applyAlignment="1">
      <alignment horizontal="center" vertical="center" wrapText="1"/>
    </xf>
    <xf numFmtId="0" fontId="19" fillId="3" borderId="53" xfId="5" applyFont="1" applyFill="1" applyBorder="1" applyAlignment="1">
      <alignment horizontal="left" vertical="center" wrapText="1"/>
    </xf>
    <xf numFmtId="0" fontId="19" fillId="3" borderId="54" xfId="5" applyFont="1" applyFill="1" applyBorder="1" applyAlignment="1">
      <alignment horizontal="left" vertical="center" wrapText="1"/>
    </xf>
    <xf numFmtId="0" fontId="19" fillId="3" borderId="55" xfId="5" applyFont="1" applyFill="1" applyBorder="1" applyAlignment="1">
      <alignment horizontal="left" vertical="center" wrapText="1"/>
    </xf>
    <xf numFmtId="0" fontId="16" fillId="0" borderId="51" xfId="5" applyFont="1" applyBorder="1" applyAlignment="1">
      <alignment horizontal="left" vertical="center" wrapText="1"/>
    </xf>
    <xf numFmtId="0" fontId="16" fillId="0" borderId="54" xfId="5" applyFont="1" applyBorder="1" applyAlignment="1">
      <alignment horizontal="left" vertical="center" wrapText="1"/>
    </xf>
    <xf numFmtId="0" fontId="16" fillId="0" borderId="56" xfId="5" applyFont="1" applyBorder="1" applyAlignment="1">
      <alignment horizontal="left" vertical="center" wrapText="1"/>
    </xf>
    <xf numFmtId="0" fontId="16" fillId="0" borderId="57" xfId="5" applyFont="1" applyBorder="1" applyAlignment="1">
      <alignment horizontal="left" vertical="center" wrapText="1"/>
    </xf>
    <xf numFmtId="0" fontId="18" fillId="0" borderId="58" xfId="5" applyFont="1" applyBorder="1" applyAlignment="1">
      <alignment horizontal="center" vertical="center" wrapText="1"/>
    </xf>
    <xf numFmtId="0" fontId="18" fillId="0" borderId="59" xfId="5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left" vertical="center" wrapText="1"/>
    </xf>
    <xf numFmtId="0" fontId="38" fillId="0" borderId="96" xfId="0" applyFont="1" applyBorder="1" applyAlignment="1">
      <alignment horizontal="left" vertical="center" wrapText="1"/>
    </xf>
    <xf numFmtId="0" fontId="37" fillId="6" borderId="97" xfId="0" applyFont="1" applyFill="1" applyBorder="1" applyAlignment="1">
      <alignment horizontal="center" vertical="center" wrapText="1"/>
    </xf>
    <xf numFmtId="0" fontId="37" fillId="6" borderId="75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6" borderId="82" xfId="0" applyFont="1" applyFill="1" applyBorder="1" applyAlignment="1">
      <alignment horizontal="left" vertical="center"/>
    </xf>
    <xf numFmtId="0" fontId="25" fillId="6" borderId="83" xfId="0" applyFont="1" applyFill="1" applyBorder="1" applyAlignment="1">
      <alignment horizontal="left" vertical="center"/>
    </xf>
    <xf numFmtId="0" fontId="37" fillId="6" borderId="84" xfId="0" applyFont="1" applyFill="1" applyBorder="1" applyAlignment="1">
      <alignment horizontal="left" vertical="center"/>
    </xf>
    <xf numFmtId="0" fontId="37" fillId="6" borderId="85" xfId="0" applyFont="1" applyFill="1" applyBorder="1" applyAlignment="1">
      <alignment horizontal="left" vertical="center"/>
    </xf>
    <xf numFmtId="0" fontId="37" fillId="6" borderId="86" xfId="0" applyFont="1" applyFill="1" applyBorder="1" applyAlignment="1">
      <alignment horizontal="left" vertical="center"/>
    </xf>
    <xf numFmtId="0" fontId="38" fillId="0" borderId="87" xfId="0" applyFont="1" applyBorder="1" applyAlignment="1">
      <alignment horizontal="center" vertical="center" wrapText="1"/>
    </xf>
    <xf numFmtId="0" fontId="38" fillId="0" borderId="88" xfId="0" applyFont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25" fillId="6" borderId="74" xfId="0" applyFont="1" applyFill="1" applyBorder="1" applyAlignment="1">
      <alignment horizontal="center" vertical="center"/>
    </xf>
    <xf numFmtId="0" fontId="25" fillId="6" borderId="75" xfId="0" applyFont="1" applyFill="1" applyBorder="1" applyAlignment="1">
      <alignment horizontal="center" vertical="center"/>
    </xf>
    <xf numFmtId="0" fontId="25" fillId="6" borderId="76" xfId="0" applyFont="1" applyFill="1" applyBorder="1" applyAlignment="1">
      <alignment horizontal="center" vertical="center"/>
    </xf>
    <xf numFmtId="0" fontId="25" fillId="6" borderId="77" xfId="0" applyFont="1" applyFill="1" applyBorder="1" applyAlignment="1">
      <alignment horizontal="justify" vertical="center"/>
    </xf>
    <xf numFmtId="0" fontId="25" fillId="6" borderId="78" xfId="0" applyFont="1" applyFill="1" applyBorder="1" applyAlignment="1">
      <alignment horizontal="justify" vertical="center"/>
    </xf>
    <xf numFmtId="0" fontId="25" fillId="6" borderId="79" xfId="0" applyFont="1" applyFill="1" applyBorder="1" applyAlignment="1">
      <alignment horizontal="left" vertical="center"/>
    </xf>
    <xf numFmtId="0" fontId="25" fillId="6" borderId="80" xfId="0" applyFont="1" applyFill="1" applyBorder="1" applyAlignment="1">
      <alignment horizontal="left" vertical="center"/>
    </xf>
    <xf numFmtId="170" fontId="25" fillId="6" borderId="80" xfId="0" applyNumberFormat="1" applyFont="1" applyFill="1" applyBorder="1" applyAlignment="1">
      <alignment horizontal="left" vertical="center"/>
    </xf>
    <xf numFmtId="0" fontId="25" fillId="6" borderId="81" xfId="0" applyFont="1" applyFill="1" applyBorder="1" applyAlignment="1">
      <alignment horizontal="left" vertical="center"/>
    </xf>
  </cellXfs>
  <cellStyles count="8">
    <cellStyle name="Normal" xfId="0" builtinId="0"/>
    <cellStyle name="Normal 2" xfId="3" xr:uid="{FF63ABB5-22EB-4A3E-A853-E788F8466B36}"/>
    <cellStyle name="Normal 2 2 3" xfId="7" xr:uid="{2C1AAFCB-1D79-4974-8269-387751FA0D6E}"/>
    <cellStyle name="Normal 2 5" xfId="5" xr:uid="{973C9595-CD8E-4B0E-8550-AE12AA3CDE82}"/>
    <cellStyle name="Normal 3" xfId="6" xr:uid="{DB7E4FDA-AF52-4BAA-A194-150198F5BFF9}"/>
    <cellStyle name="Porcentagem" xfId="2" builtinId="5"/>
    <cellStyle name="Porcentagem 2" xfId="4" xr:uid="{7F6B787D-13C5-4F52-9BD6-2B9091A947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2</xdr:col>
      <xdr:colOff>342900</xdr:colOff>
      <xdr:row>3</xdr:row>
      <xdr:rowOff>134590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790DEA-A308-4A1C-A3DD-7F0BDD641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14300"/>
          <a:ext cx="1480185" cy="591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3</xdr:col>
      <xdr:colOff>133350</xdr:colOff>
      <xdr:row>3</xdr:row>
      <xdr:rowOff>134590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31C4407-6804-46C7-934B-1C7950B3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14300"/>
          <a:ext cx="1476375" cy="587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76200</xdr:rowOff>
    </xdr:from>
    <xdr:to>
      <xdr:col>2</xdr:col>
      <xdr:colOff>609600</xdr:colOff>
      <xdr:row>3</xdr:row>
      <xdr:rowOff>175153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6AA7CC-6ED2-41C6-AC80-4368F22B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" y="228600"/>
          <a:ext cx="1022985" cy="4037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171450</xdr:rowOff>
    </xdr:from>
    <xdr:to>
      <xdr:col>10</xdr:col>
      <xdr:colOff>837325</xdr:colOff>
      <xdr:row>33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241C6469-DFC2-41CD-AAAA-1EA6516753BE}"/>
            </a:ext>
          </a:extLst>
        </xdr:cNvPr>
        <xdr:cNvSpPr txBox="1">
          <a:spLocks noChangeArrowheads="1"/>
        </xdr:cNvSpPr>
      </xdr:nvSpPr>
      <xdr:spPr bwMode="auto">
        <a:xfrm>
          <a:off x="49530" y="7549515"/>
          <a:ext cx="1397992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1485900</xdr:colOff>
      <xdr:row>4</xdr:row>
      <xdr:rowOff>18385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FD450F-8ADF-4110-B7A3-178E4E3F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5" y="196215"/>
          <a:ext cx="1436370" cy="565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Meus%20documentos\Planilhas\OR&#199;AMENTO%20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os\Alvaro\Documents\CII%20AMAJE\2024\PREFEITURAS\BARRAGENS%20SEAPA\PLA%20OR&#199;%20TURMALINA%20E%20CAPELINHA%20---SICOR--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os\Alvaro\Documents\CII%20AMAJE\2023\PREFEITURAS\TURMALINA\Barragem\PRESTA&#199;&#195;O%20DE%20CONTAS\atualiza&#231;&#227;o%20Leo\Or&#231;amento%20Turmalina%20SEMTEMBRO%20JU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os\Alvaro\Documents\CII%20AMAJE\2023\PREFEITURAS\ANGELANDIA\BARRAGEM%20DO%20SAPE\PRESTA&#199;&#195;O%20DE%20CONTAS\PLA-SEA-ATU-JAN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 xml:space="preserve">  Pedreiro de acabamento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Turmalina MOD ÁLVARO 27-11"/>
      <sheetName val="Orç. Turalina ÁLVARO SICOR"/>
      <sheetName val="CPU 01 TURMALINA"/>
      <sheetName val="CRONO F-F TURMALINA SICOR"/>
      <sheetName val="CAPELINHA Grillo mod"/>
      <sheetName val="CAPELINHA Grillo SICOR"/>
      <sheetName val="CPU 01 CAPELINHA"/>
      <sheetName val="CRONO F-F CAPELINHA SICOR"/>
    </sheetNames>
    <sheetDataSet>
      <sheetData sheetId="0">
        <row r="34">
          <cell r="D34" t="str">
            <v>CANAL SANGRADOURO</v>
          </cell>
        </row>
        <row r="42">
          <cell r="D42" t="str">
            <v>MATERIAIS E PEÇAS DO SIFÃO HIDRÁULICO</v>
          </cell>
        </row>
        <row r="59">
          <cell r="D59" t="str">
            <v>ADMINISTRAÇÃO DE OBRAS</v>
          </cell>
        </row>
      </sheetData>
      <sheetData sheetId="1">
        <row r="20">
          <cell r="I20">
            <v>1770.69</v>
          </cell>
        </row>
        <row r="26">
          <cell r="I26">
            <v>133053.34</v>
          </cell>
        </row>
        <row r="32">
          <cell r="I32">
            <v>1151766.5099999998</v>
          </cell>
        </row>
        <row r="41">
          <cell r="I41">
            <v>42772.99</v>
          </cell>
        </row>
        <row r="58">
          <cell r="I58">
            <v>25412.850000000002</v>
          </cell>
        </row>
        <row r="61">
          <cell r="I61">
            <v>21192.27</v>
          </cell>
        </row>
        <row r="63">
          <cell r="I63">
            <v>1375968.65</v>
          </cell>
        </row>
      </sheetData>
      <sheetData sheetId="2"/>
      <sheetData sheetId="3">
        <row r="1">
          <cell r="A1" t="str">
            <v>CIM JEQUITINHONHA
Consórcio Integrado Multifinalitário do Vale do Jequitinhonha
RUA ZECA BRUNO 131 - CAZUZA DIAMANTINA/MG 
Email: engcivil.cimjequitinhonha@gmail.com</v>
          </cell>
        </row>
      </sheetData>
      <sheetData sheetId="4">
        <row r="45">
          <cell r="I45">
            <v>347756.74999999994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Turmalina"/>
      <sheetName val="Orçamento eixo rotacionado MOD "/>
      <sheetName val="Orçamento Turmalina MOD"/>
      <sheetName val="Orçamento Turmalina MOD final"/>
      <sheetName val="CAPELINHA Grillo"/>
      <sheetName val="CAPELINHA Grillo mod"/>
      <sheetName val="Planilha4"/>
      <sheetName val="Orçamento Turmalina MOD sinapi"/>
    </sheetNames>
    <sheetDataSet>
      <sheetData sheetId="0"/>
      <sheetData sheetId="1">
        <row r="19">
          <cell r="H19">
            <v>1367.14</v>
          </cell>
        </row>
        <row r="23">
          <cell r="H23">
            <v>0.47</v>
          </cell>
        </row>
        <row r="24">
          <cell r="H24">
            <v>8.01</v>
          </cell>
        </row>
        <row r="28">
          <cell r="H28">
            <v>7.25</v>
          </cell>
        </row>
        <row r="29">
          <cell r="H29">
            <v>7.25</v>
          </cell>
        </row>
        <row r="30">
          <cell r="H30">
            <v>4.87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BDI (3)"/>
      <sheetName val="TURMALINA Gentio"/>
      <sheetName val="cronograma turmalina"/>
      <sheetName val="CAPELINHA Grillo"/>
      <sheetName val="cronograma CAPELINHA"/>
      <sheetName val="ANGELÂNDIA Sapé"/>
      <sheetName val="ANGELÂNDIA Sapé (2)"/>
      <sheetName val="cronograma ANGELANDIA"/>
      <sheetName val="RESUMO"/>
      <sheetName val="Plano de Execução-desemboslo"/>
    </sheetNames>
    <sheetDataSet>
      <sheetData sheetId="0"/>
      <sheetData sheetId="1"/>
      <sheetData sheetId="2">
        <row r="18">
          <cell r="A18">
            <v>1</v>
          </cell>
          <cell r="D18" t="str">
            <v>INSTALAÇÕES INICIAIS DA OBRA</v>
          </cell>
        </row>
        <row r="22">
          <cell r="A22">
            <v>2</v>
          </cell>
          <cell r="D22" t="str">
            <v>LIMPEZA DA ÁREA DE TRABALHO</v>
          </cell>
        </row>
        <row r="27">
          <cell r="A27">
            <v>3</v>
          </cell>
          <cell r="D27" t="str">
            <v>MACIÇO DA BARRAGEM</v>
          </cell>
        </row>
      </sheetData>
      <sheetData sheetId="3"/>
      <sheetData sheetId="4">
        <row r="1">
          <cell r="A1" t="str">
            <v>CIM JEQUITINHONHA
Consórcio Integrado Multifinalitário do Vale do Jequitinhonha
RUA ZECA BRUNO 131 - CAZUZA DIAMANTINA/MG 
Email: engcivil.cimjequitinhonha@gmail.com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/>
          <cell r="B2"/>
          <cell r="C2"/>
          <cell r="D2"/>
          <cell r="E2"/>
          <cell r="F2"/>
          <cell r="G2"/>
          <cell r="H2"/>
          <cell r="I2"/>
        </row>
        <row r="3">
          <cell r="A3"/>
          <cell r="B3"/>
          <cell r="C3"/>
          <cell r="D3"/>
          <cell r="E3"/>
          <cell r="F3"/>
          <cell r="G3"/>
          <cell r="H3"/>
          <cell r="I3"/>
        </row>
        <row r="4">
          <cell r="A4"/>
          <cell r="B4"/>
          <cell r="C4"/>
          <cell r="D4"/>
          <cell r="E4"/>
          <cell r="F4"/>
          <cell r="G4"/>
          <cell r="H4"/>
          <cell r="I4"/>
        </row>
      </sheetData>
      <sheetData sheetId="5"/>
      <sheetData sheetId="6">
        <row r="1">
          <cell r="A1" t="str">
            <v>CIM JEQUITINHONHA
Consórcio Integrado Multifinalitário do Vale do Jequitinhonha
RUA ZECA BRUNO 131 - CAZUZA DIAMANTINA/MG 
Email: engcivil.cimjequitinhonha@gmail.com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CBBF-81E8-4476-961D-342DA7C20C07}">
  <sheetPr>
    <tabColor rgb="FF00B050"/>
  </sheetPr>
  <dimension ref="A1:P94"/>
  <sheetViews>
    <sheetView showGridLines="0" view="pageBreakPreview" topLeftCell="A61" zoomScaleNormal="100" zoomScaleSheetLayoutView="100" workbookViewId="0">
      <selection activeCell="G89" sqref="G89"/>
    </sheetView>
  </sheetViews>
  <sheetFormatPr defaultColWidth="9.140625" defaultRowHeight="11.25" x14ac:dyDescent="0.2"/>
  <cols>
    <col min="1" max="1" width="5.5703125" style="2" customWidth="1"/>
    <col min="2" max="2" width="15.7109375" style="2" customWidth="1"/>
    <col min="3" max="3" width="12" style="2" customWidth="1"/>
    <col min="4" max="4" width="48.7109375" style="2" customWidth="1"/>
    <col min="5" max="5" width="5.85546875" style="2" customWidth="1"/>
    <col min="6" max="6" width="11.5703125" style="2" customWidth="1"/>
    <col min="7" max="7" width="12.140625" style="2" bestFit="1" customWidth="1"/>
    <col min="8" max="8" width="22" style="2" customWidth="1"/>
    <col min="9" max="9" width="19.5703125" style="2" bestFit="1" customWidth="1"/>
    <col min="10" max="10" width="19.5703125" style="2" customWidth="1"/>
    <col min="11" max="11" width="9.140625" style="2"/>
    <col min="12" max="12" width="7.140625" style="2" customWidth="1"/>
    <col min="13" max="16384" width="9.140625" style="2"/>
  </cols>
  <sheetData>
    <row r="1" spans="1:10" ht="15" customHeight="1" x14ac:dyDescent="0.2">
      <c r="A1" s="342" t="str">
        <f>'[2]CRONO F-F TURMALINA SICOR'!A1:J4</f>
        <v>CIM JEQUITINHONHA
Consórcio Integrado Multifinalitário do Vale do Jequitinhonha
RUA ZECA BRUNO 131 - CAZUZA DIAMANTINA/MG 
Email: engcivil.cimjequitinhonha@gmail.com</v>
      </c>
      <c r="B1" s="343"/>
      <c r="C1" s="344"/>
      <c r="D1" s="344"/>
      <c r="E1" s="344"/>
      <c r="F1" s="344"/>
      <c r="G1" s="344"/>
      <c r="H1" s="344"/>
      <c r="I1" s="345"/>
      <c r="J1" s="1"/>
    </row>
    <row r="2" spans="1:10" ht="15" customHeight="1" x14ac:dyDescent="0.2">
      <c r="A2" s="346"/>
      <c r="B2" s="347"/>
      <c r="C2" s="347"/>
      <c r="D2" s="347"/>
      <c r="E2" s="347"/>
      <c r="F2" s="347"/>
      <c r="G2" s="347"/>
      <c r="H2" s="347"/>
      <c r="I2" s="348"/>
      <c r="J2" s="1"/>
    </row>
    <row r="3" spans="1:10" ht="15" customHeight="1" x14ac:dyDescent="0.2">
      <c r="A3" s="346"/>
      <c r="B3" s="347"/>
      <c r="C3" s="347"/>
      <c r="D3" s="347"/>
      <c r="E3" s="347"/>
      <c r="F3" s="347"/>
      <c r="G3" s="347"/>
      <c r="H3" s="347"/>
      <c r="I3" s="348"/>
      <c r="J3" s="1"/>
    </row>
    <row r="4" spans="1:10" ht="27" customHeight="1" thickBot="1" x14ac:dyDescent="0.25">
      <c r="A4" s="349"/>
      <c r="B4" s="350"/>
      <c r="C4" s="350"/>
      <c r="D4" s="350"/>
      <c r="E4" s="350"/>
      <c r="F4" s="350"/>
      <c r="G4" s="350"/>
      <c r="H4" s="350"/>
      <c r="I4" s="351"/>
      <c r="J4" s="1"/>
    </row>
    <row r="5" spans="1:10" x14ac:dyDescent="0.2">
      <c r="A5" s="352" t="s">
        <v>0</v>
      </c>
      <c r="B5" s="353"/>
      <c r="C5" s="353"/>
      <c r="D5" s="353"/>
      <c r="E5" s="353"/>
      <c r="F5" s="353"/>
      <c r="G5" s="353"/>
      <c r="H5" s="353"/>
      <c r="I5" s="354"/>
      <c r="J5" s="3"/>
    </row>
    <row r="6" spans="1:10" x14ac:dyDescent="0.2">
      <c r="A6" s="4" t="s">
        <v>1</v>
      </c>
      <c r="B6" s="5"/>
      <c r="C6" s="5" t="s">
        <v>2</v>
      </c>
      <c r="D6" s="6"/>
      <c r="E6" s="7"/>
      <c r="F6" s="7"/>
      <c r="G6" s="7"/>
      <c r="H6" s="7"/>
      <c r="I6" s="8"/>
    </row>
    <row r="7" spans="1:10" x14ac:dyDescent="0.2">
      <c r="A7" s="4" t="s">
        <v>3</v>
      </c>
      <c r="B7" s="5"/>
      <c r="C7" s="9" t="s">
        <v>4</v>
      </c>
      <c r="D7" s="6"/>
      <c r="E7" s="7"/>
      <c r="F7" s="7"/>
      <c r="G7" s="7"/>
      <c r="H7" s="7"/>
      <c r="I7" s="8"/>
    </row>
    <row r="8" spans="1:10" ht="12" thickBot="1" x14ac:dyDescent="0.25">
      <c r="A8" s="10" t="s">
        <v>5</v>
      </c>
      <c r="B8" s="11"/>
      <c r="C8" s="11" t="s">
        <v>6</v>
      </c>
      <c r="D8" s="11"/>
      <c r="E8" s="12"/>
      <c r="F8" s="12"/>
      <c r="G8" s="12"/>
      <c r="H8" s="12"/>
      <c r="I8" s="13"/>
    </row>
    <row r="9" spans="1:10" x14ac:dyDescent="0.2">
      <c r="A9" s="4"/>
      <c r="B9" s="5"/>
      <c r="C9" s="5"/>
      <c r="D9" s="5"/>
      <c r="E9" s="5"/>
      <c r="F9" s="5"/>
      <c r="G9" s="5"/>
      <c r="H9" s="5"/>
      <c r="I9" s="14"/>
      <c r="J9" s="15"/>
    </row>
    <row r="10" spans="1:10" x14ac:dyDescent="0.2">
      <c r="A10" s="355" t="s">
        <v>7</v>
      </c>
      <c r="B10" s="356"/>
      <c r="C10" s="356"/>
      <c r="D10" s="356"/>
      <c r="E10" s="356"/>
      <c r="F10" s="356"/>
      <c r="G10" s="356"/>
      <c r="H10" s="356"/>
      <c r="I10" s="357"/>
      <c r="J10" s="19"/>
    </row>
    <row r="11" spans="1:10" x14ac:dyDescent="0.2">
      <c r="A11" s="16"/>
      <c r="B11" s="17"/>
      <c r="C11" s="17"/>
      <c r="D11" s="17"/>
      <c r="E11" s="17"/>
      <c r="F11" s="17"/>
      <c r="G11" s="17"/>
      <c r="H11" s="17"/>
      <c r="I11" s="18"/>
      <c r="J11" s="19"/>
    </row>
    <row r="12" spans="1:10" x14ac:dyDescent="0.2">
      <c r="A12" s="4" t="s">
        <v>8</v>
      </c>
      <c r="B12" s="5"/>
      <c r="C12" s="5"/>
      <c r="D12" s="5"/>
      <c r="E12" s="17" t="s">
        <v>9</v>
      </c>
      <c r="F12" s="20">
        <v>5.08</v>
      </c>
      <c r="G12" s="21" t="s">
        <v>10</v>
      </c>
      <c r="H12" s="21"/>
      <c r="I12" s="18" t="s">
        <v>11</v>
      </c>
      <c r="J12" s="19"/>
    </row>
    <row r="13" spans="1:10" x14ac:dyDescent="0.2">
      <c r="A13" s="4" t="s">
        <v>12</v>
      </c>
      <c r="B13" s="5"/>
      <c r="C13" s="5"/>
      <c r="D13" s="17" t="s">
        <v>13</v>
      </c>
      <c r="E13" s="17" t="s">
        <v>14</v>
      </c>
      <c r="F13" s="21">
        <v>193.97</v>
      </c>
      <c r="G13" s="21" t="s">
        <v>15</v>
      </c>
      <c r="H13" s="21"/>
      <c r="I13" s="22">
        <v>0.30280000000000001</v>
      </c>
      <c r="J13" s="23"/>
    </row>
    <row r="14" spans="1:10" x14ac:dyDescent="0.2">
      <c r="A14" s="4" t="s">
        <v>16</v>
      </c>
      <c r="B14" s="5"/>
      <c r="C14" s="5"/>
      <c r="D14" s="5"/>
      <c r="E14" s="358" t="s">
        <v>17</v>
      </c>
      <c r="F14" s="21" t="s">
        <v>18</v>
      </c>
      <c r="G14" s="358" t="s">
        <v>19</v>
      </c>
      <c r="H14" s="24"/>
      <c r="I14" s="25" t="s">
        <v>20</v>
      </c>
      <c r="J14" s="26"/>
    </row>
    <row r="15" spans="1:10" x14ac:dyDescent="0.2">
      <c r="A15" s="27"/>
      <c r="B15" s="28"/>
      <c r="C15" s="28"/>
      <c r="D15" s="28"/>
      <c r="E15" s="359"/>
      <c r="F15" s="29" t="s">
        <v>21</v>
      </c>
      <c r="G15" s="359"/>
      <c r="H15" s="24"/>
      <c r="I15" s="30" t="s">
        <v>21</v>
      </c>
      <c r="J15" s="31"/>
    </row>
    <row r="16" spans="1:10" x14ac:dyDescent="0.2">
      <c r="A16" s="360" t="s">
        <v>22</v>
      </c>
      <c r="B16" s="361" t="s">
        <v>23</v>
      </c>
      <c r="C16" s="361" t="s">
        <v>24</v>
      </c>
      <c r="D16" s="333" t="s">
        <v>25</v>
      </c>
      <c r="E16" s="333" t="s">
        <v>26</v>
      </c>
      <c r="F16" s="333" t="s">
        <v>27</v>
      </c>
      <c r="G16" s="333" t="s">
        <v>28</v>
      </c>
      <c r="H16" s="334"/>
      <c r="I16" s="335"/>
      <c r="J16" s="3"/>
    </row>
    <row r="17" spans="1:16" ht="22.5" x14ac:dyDescent="0.2">
      <c r="A17" s="360"/>
      <c r="B17" s="362"/>
      <c r="C17" s="362"/>
      <c r="D17" s="333"/>
      <c r="E17" s="333"/>
      <c r="F17" s="333"/>
      <c r="G17" s="32" t="s">
        <v>29</v>
      </c>
      <c r="H17" s="32" t="s">
        <v>30</v>
      </c>
      <c r="I17" s="33" t="s">
        <v>31</v>
      </c>
      <c r="J17" s="3"/>
    </row>
    <row r="18" spans="1:16" ht="15" customHeight="1" x14ac:dyDescent="0.25">
      <c r="A18" s="34">
        <v>1</v>
      </c>
      <c r="B18" s="35"/>
      <c r="C18" s="36"/>
      <c r="D18" s="37" t="s">
        <v>32</v>
      </c>
      <c r="E18" s="38"/>
      <c r="F18" s="39"/>
      <c r="G18" s="39"/>
      <c r="H18" s="39"/>
      <c r="I18" s="40"/>
      <c r="J18" s="41"/>
    </row>
    <row r="19" spans="1:16" ht="79.150000000000006" customHeight="1" x14ac:dyDescent="0.2">
      <c r="A19" s="34" t="s">
        <v>33</v>
      </c>
      <c r="B19" s="42" t="s">
        <v>34</v>
      </c>
      <c r="C19" s="38" t="s">
        <v>35</v>
      </c>
      <c r="D19" s="43" t="s">
        <v>36</v>
      </c>
      <c r="E19" s="38" t="s">
        <v>37</v>
      </c>
      <c r="F19" s="39">
        <v>1</v>
      </c>
      <c r="G19" s="39">
        <f>ROUND(H19+(H19*$I$13),2)</f>
        <v>1781.11</v>
      </c>
      <c r="H19" s="44">
        <f>'[3]Orçamento eixo rotacionado MOD '!H19</f>
        <v>1367.14</v>
      </c>
      <c r="I19" s="40">
        <f>ROUND(F19*G19,2)</f>
        <v>1781.11</v>
      </c>
      <c r="J19" s="41">
        <f>ROUND(F19*H19,2)</f>
        <v>1367.14</v>
      </c>
    </row>
    <row r="20" spans="1:16" ht="15" customHeight="1" x14ac:dyDescent="0.2">
      <c r="A20" s="45"/>
      <c r="B20" s="46"/>
      <c r="C20" s="38"/>
      <c r="D20" s="37" t="s">
        <v>38</v>
      </c>
      <c r="E20" s="38"/>
      <c r="F20" s="39"/>
      <c r="G20" s="39"/>
      <c r="H20" s="39"/>
      <c r="I20" s="47">
        <f>I19</f>
        <v>1781.11</v>
      </c>
      <c r="J20" s="41">
        <f t="shared" ref="J20:J61" si="0">ROUND(F20*H20,2)</f>
        <v>0</v>
      </c>
    </row>
    <row r="21" spans="1:16" x14ac:dyDescent="0.2">
      <c r="A21" s="48"/>
      <c r="B21" s="49"/>
      <c r="C21" s="50"/>
      <c r="D21" s="51"/>
      <c r="E21" s="52"/>
      <c r="F21" s="53"/>
      <c r="G21" s="53"/>
      <c r="H21" s="53"/>
      <c r="I21" s="54"/>
      <c r="J21" s="41">
        <f t="shared" si="0"/>
        <v>0</v>
      </c>
    </row>
    <row r="22" spans="1:16" ht="15" customHeight="1" x14ac:dyDescent="0.2">
      <c r="A22" s="34">
        <v>2</v>
      </c>
      <c r="B22" s="42"/>
      <c r="C22" s="55"/>
      <c r="D22" s="37" t="s">
        <v>39</v>
      </c>
      <c r="E22" s="38"/>
      <c r="F22" s="39"/>
      <c r="G22" s="56"/>
      <c r="H22" s="56"/>
      <c r="I22" s="40"/>
      <c r="J22" s="41">
        <f t="shared" si="0"/>
        <v>0</v>
      </c>
    </row>
    <row r="23" spans="1:16" ht="76.900000000000006" customHeight="1" x14ac:dyDescent="0.2">
      <c r="A23" s="34" t="s">
        <v>40</v>
      </c>
      <c r="B23" s="42" t="s">
        <v>34</v>
      </c>
      <c r="C23" s="38" t="s">
        <v>41</v>
      </c>
      <c r="D23" s="43" t="s">
        <v>42</v>
      </c>
      <c r="E23" s="38" t="s">
        <v>43</v>
      </c>
      <c r="F23" s="39">
        <v>29467.85</v>
      </c>
      <c r="G23" s="39">
        <f>ROUND(H23+(H23*$I$13),2)</f>
        <v>0.61</v>
      </c>
      <c r="H23" s="44">
        <f>'[3]Orçamento eixo rotacionado MOD '!H23</f>
        <v>0.47</v>
      </c>
      <c r="I23" s="40">
        <f>ROUND(F23*G23,2)</f>
        <v>17975.39</v>
      </c>
      <c r="J23" s="41">
        <f t="shared" si="0"/>
        <v>13849.89</v>
      </c>
    </row>
    <row r="24" spans="1:16" ht="39" customHeight="1" x14ac:dyDescent="0.2">
      <c r="A24" s="34" t="s">
        <v>44</v>
      </c>
      <c r="B24" s="42" t="s">
        <v>34</v>
      </c>
      <c r="C24" s="38" t="s">
        <v>45</v>
      </c>
      <c r="D24" s="57" t="s">
        <v>46</v>
      </c>
      <c r="E24" s="38" t="s">
        <v>47</v>
      </c>
      <c r="F24" s="39">
        <v>6069.69</v>
      </c>
      <c r="G24" s="39">
        <f>ROUND(H24+(H24*$I$13),2)</f>
        <v>10.44</v>
      </c>
      <c r="H24" s="44">
        <f>'[3]Orçamento eixo rotacionado MOD '!H24</f>
        <v>8.01</v>
      </c>
      <c r="I24" s="40">
        <f t="shared" ref="I24:I25" si="1">ROUND(F24*G24,2)</f>
        <v>63367.56</v>
      </c>
      <c r="J24" s="41">
        <f t="shared" si="0"/>
        <v>48618.22</v>
      </c>
    </row>
    <row r="25" spans="1:16" ht="58.9" customHeight="1" x14ac:dyDescent="0.2">
      <c r="A25" s="34" t="s">
        <v>48</v>
      </c>
      <c r="B25" s="42" t="s">
        <v>34</v>
      </c>
      <c r="C25" s="38" t="s">
        <v>49</v>
      </c>
      <c r="D25" s="57" t="s">
        <v>50</v>
      </c>
      <c r="E25" s="38" t="s">
        <v>51</v>
      </c>
      <c r="F25" s="39">
        <f>F24*1.19</f>
        <v>7222.9310999999989</v>
      </c>
      <c r="G25" s="39">
        <f>ROUND(H25+(H25*$I$13),2)</f>
        <v>9.02</v>
      </c>
      <c r="H25" s="44">
        <v>6.92</v>
      </c>
      <c r="I25" s="40">
        <f t="shared" si="1"/>
        <v>65150.84</v>
      </c>
      <c r="J25" s="41">
        <f t="shared" si="0"/>
        <v>49982.68</v>
      </c>
      <c r="P25" s="58">
        <f>SUM(F25,F36)</f>
        <v>7914.0110999999988</v>
      </c>
    </row>
    <row r="26" spans="1:16" ht="15" customHeight="1" x14ac:dyDescent="0.2">
      <c r="A26" s="45"/>
      <c r="B26" s="46"/>
      <c r="C26" s="38"/>
      <c r="D26" s="37" t="s">
        <v>52</v>
      </c>
      <c r="E26" s="38"/>
      <c r="F26" s="39"/>
      <c r="G26" s="39"/>
      <c r="H26" s="39"/>
      <c r="I26" s="47">
        <f>SUM(I23:I25)</f>
        <v>146493.78999999998</v>
      </c>
      <c r="J26" s="41">
        <f t="shared" si="0"/>
        <v>0</v>
      </c>
      <c r="P26" s="58">
        <f>SUM(F29,F30,F35,F37,F38,)</f>
        <v>78270.58</v>
      </c>
    </row>
    <row r="27" spans="1:16" x14ac:dyDescent="0.2">
      <c r="A27" s="59"/>
      <c r="B27" s="60"/>
      <c r="C27" s="61"/>
      <c r="D27" s="62"/>
      <c r="E27" s="61"/>
      <c r="F27" s="39"/>
      <c r="G27" s="39"/>
      <c r="H27" s="39"/>
      <c r="I27" s="40"/>
      <c r="J27" s="41">
        <f t="shared" si="0"/>
        <v>0</v>
      </c>
    </row>
    <row r="28" spans="1:16" ht="15" customHeight="1" x14ac:dyDescent="0.2">
      <c r="A28" s="34">
        <v>3</v>
      </c>
      <c r="B28" s="42"/>
      <c r="C28" s="55"/>
      <c r="D28" s="37" t="s">
        <v>53</v>
      </c>
      <c r="E28" s="38"/>
      <c r="F28" s="39"/>
      <c r="G28" s="39"/>
      <c r="H28" s="39"/>
      <c r="I28" s="40"/>
      <c r="J28" s="41">
        <f t="shared" si="0"/>
        <v>0</v>
      </c>
    </row>
    <row r="29" spans="1:16" ht="66.599999999999994" customHeight="1" x14ac:dyDescent="0.2">
      <c r="A29" s="34" t="s">
        <v>54</v>
      </c>
      <c r="B29" s="42" t="s">
        <v>34</v>
      </c>
      <c r="C29" s="38" t="s">
        <v>55</v>
      </c>
      <c r="D29" s="57" t="s">
        <v>56</v>
      </c>
      <c r="E29" s="38" t="s">
        <v>47</v>
      </c>
      <c r="F29" s="39">
        <v>9267.06</v>
      </c>
      <c r="G29" s="39">
        <f>ROUND(H29+(H29*$I$13),2)</f>
        <v>9.4499999999999993</v>
      </c>
      <c r="H29" s="44">
        <f>'[3]Orçamento eixo rotacionado MOD '!H28</f>
        <v>7.25</v>
      </c>
      <c r="I29" s="40">
        <f t="shared" ref="I29:I31" si="2">ROUND(F29*G29,2)</f>
        <v>87573.72</v>
      </c>
      <c r="J29" s="41">
        <f t="shared" si="0"/>
        <v>67186.19</v>
      </c>
    </row>
    <row r="30" spans="1:16" ht="69" customHeight="1" x14ac:dyDescent="0.2">
      <c r="A30" s="34" t="s">
        <v>57</v>
      </c>
      <c r="B30" s="42" t="s">
        <v>34</v>
      </c>
      <c r="C30" s="38" t="s">
        <v>55</v>
      </c>
      <c r="D30" s="57" t="s">
        <v>58</v>
      </c>
      <c r="E30" s="38" t="s">
        <v>47</v>
      </c>
      <c r="F30" s="39">
        <v>68279.92</v>
      </c>
      <c r="G30" s="39">
        <f>ROUND(H30+(H30*$I$13),2)</f>
        <v>9.4499999999999993</v>
      </c>
      <c r="H30" s="44">
        <f>'[3]Orçamento eixo rotacionado MOD '!H29</f>
        <v>7.25</v>
      </c>
      <c r="I30" s="40">
        <f t="shared" si="2"/>
        <v>645245.24</v>
      </c>
      <c r="J30" s="41">
        <f t="shared" si="0"/>
        <v>495029.42</v>
      </c>
    </row>
    <row r="31" spans="1:16" ht="30" customHeight="1" x14ac:dyDescent="0.2">
      <c r="A31" s="34" t="s">
        <v>59</v>
      </c>
      <c r="B31" s="42" t="s">
        <v>34</v>
      </c>
      <c r="C31" s="38" t="s">
        <v>60</v>
      </c>
      <c r="D31" s="63" t="s">
        <v>61</v>
      </c>
      <c r="E31" s="38" t="s">
        <v>51</v>
      </c>
      <c r="F31" s="39">
        <v>73669.63</v>
      </c>
      <c r="G31" s="39">
        <f>ROUND(H31+(H31*$I$13),2)</f>
        <v>6.34</v>
      </c>
      <c r="H31" s="44">
        <f>'[3]Orçamento eixo rotacionado MOD '!H30</f>
        <v>4.87</v>
      </c>
      <c r="I31" s="40">
        <f t="shared" si="2"/>
        <v>467065.45</v>
      </c>
      <c r="J31" s="41">
        <f t="shared" si="0"/>
        <v>358771.1</v>
      </c>
    </row>
    <row r="32" spans="1:16" ht="15" customHeight="1" x14ac:dyDescent="0.2">
      <c r="A32" s="64"/>
      <c r="B32" s="65"/>
      <c r="C32" s="63"/>
      <c r="D32" s="37" t="s">
        <v>62</v>
      </c>
      <c r="E32" s="38"/>
      <c r="F32" s="39"/>
      <c r="G32" s="39"/>
      <c r="H32" s="39"/>
      <c r="I32" s="47">
        <f>SUM(I29:I31)</f>
        <v>1199884.4099999999</v>
      </c>
      <c r="J32" s="41">
        <f t="shared" si="0"/>
        <v>0</v>
      </c>
    </row>
    <row r="33" spans="1:15" x14ac:dyDescent="0.2">
      <c r="A33" s="64"/>
      <c r="B33" s="65"/>
      <c r="C33" s="63"/>
      <c r="D33" s="57"/>
      <c r="E33" s="38"/>
      <c r="F33" s="39"/>
      <c r="G33" s="39"/>
      <c r="H33" s="39"/>
      <c r="I33" s="40"/>
      <c r="J33" s="41">
        <f t="shared" si="0"/>
        <v>0</v>
      </c>
    </row>
    <row r="34" spans="1:15" ht="15" customHeight="1" x14ac:dyDescent="0.2">
      <c r="A34" s="34"/>
      <c r="B34" s="42"/>
      <c r="C34" s="55"/>
      <c r="D34" s="66" t="s">
        <v>63</v>
      </c>
      <c r="E34" s="38"/>
      <c r="F34" s="39"/>
      <c r="G34" s="39"/>
      <c r="H34" s="39"/>
      <c r="I34" s="40"/>
      <c r="J34" s="41">
        <f t="shared" si="0"/>
        <v>0</v>
      </c>
    </row>
    <row r="35" spans="1:15" ht="88.15" customHeight="1" x14ac:dyDescent="0.2">
      <c r="A35" s="34" t="s">
        <v>64</v>
      </c>
      <c r="B35" s="42" t="s">
        <v>34</v>
      </c>
      <c r="C35" s="38" t="s">
        <v>65</v>
      </c>
      <c r="D35" s="63" t="s">
        <v>66</v>
      </c>
      <c r="E35" s="38" t="s">
        <v>51</v>
      </c>
      <c r="F35" s="39">
        <v>531.6</v>
      </c>
      <c r="G35" s="39">
        <f t="shared" ref="G35:G40" si="3">ROUND(H35+(H35*$I$13),2)</f>
        <v>12.6</v>
      </c>
      <c r="H35" s="44">
        <v>9.67</v>
      </c>
      <c r="I35" s="40">
        <f t="shared" ref="I35:I40" si="4">ROUND(F35*G35,2)</f>
        <v>6698.16</v>
      </c>
      <c r="J35" s="41">
        <f t="shared" si="0"/>
        <v>5140.57</v>
      </c>
      <c r="K35" s="2">
        <f>60*8.86</f>
        <v>531.59999999999991</v>
      </c>
      <c r="L35" s="2">
        <f>(6.36+2)/2*2.12</f>
        <v>8.8615999999999993</v>
      </c>
    </row>
    <row r="36" spans="1:15" ht="58.15" customHeight="1" x14ac:dyDescent="0.2">
      <c r="A36" s="34" t="s">
        <v>67</v>
      </c>
      <c r="B36" s="42" t="s">
        <v>34</v>
      </c>
      <c r="C36" s="38" t="s">
        <v>49</v>
      </c>
      <c r="D36" s="63" t="s">
        <v>68</v>
      </c>
      <c r="E36" s="38" t="s">
        <v>51</v>
      </c>
      <c r="F36" s="39">
        <f>F35*1.3</f>
        <v>691.08</v>
      </c>
      <c r="G36" s="39">
        <f t="shared" si="3"/>
        <v>9.02</v>
      </c>
      <c r="H36" s="44">
        <v>6.92</v>
      </c>
      <c r="I36" s="40">
        <f t="shared" si="4"/>
        <v>6233.54</v>
      </c>
      <c r="J36" s="41">
        <f t="shared" si="0"/>
        <v>4782.2700000000004</v>
      </c>
    </row>
    <row r="37" spans="1:15" ht="79.900000000000006" customHeight="1" x14ac:dyDescent="0.2">
      <c r="A37" s="34" t="s">
        <v>69</v>
      </c>
      <c r="B37" s="42" t="s">
        <v>34</v>
      </c>
      <c r="C37" s="38" t="s">
        <v>70</v>
      </c>
      <c r="D37" s="57" t="s">
        <v>71</v>
      </c>
      <c r="E37" s="38" t="s">
        <v>51</v>
      </c>
      <c r="F37" s="39">
        <v>153.6</v>
      </c>
      <c r="G37" s="39">
        <f t="shared" si="3"/>
        <v>12.81</v>
      </c>
      <c r="H37" s="44">
        <v>9.83</v>
      </c>
      <c r="I37" s="40">
        <f t="shared" si="4"/>
        <v>1967.62</v>
      </c>
      <c r="J37" s="41">
        <f t="shared" si="0"/>
        <v>1509.89</v>
      </c>
      <c r="K37" s="336"/>
      <c r="L37" s="337"/>
      <c r="M37" s="337"/>
      <c r="N37" s="2">
        <f>120*1.28</f>
        <v>153.6</v>
      </c>
      <c r="O37" s="2">
        <f>(2.4+0.8)/2*0.8</f>
        <v>1.2800000000000002</v>
      </c>
    </row>
    <row r="38" spans="1:15" ht="56.25" customHeight="1" x14ac:dyDescent="0.2">
      <c r="A38" s="34" t="s">
        <v>72</v>
      </c>
      <c r="B38" s="42" t="s">
        <v>34</v>
      </c>
      <c r="C38" s="38" t="s">
        <v>70</v>
      </c>
      <c r="D38" s="57" t="s">
        <v>73</v>
      </c>
      <c r="E38" s="38" t="s">
        <v>51</v>
      </c>
      <c r="F38" s="39">
        <f>0.4*0.4*120*2</f>
        <v>38.400000000000006</v>
      </c>
      <c r="G38" s="39">
        <f t="shared" si="3"/>
        <v>12.81</v>
      </c>
      <c r="H38" s="44">
        <v>9.83</v>
      </c>
      <c r="I38" s="40">
        <f t="shared" si="4"/>
        <v>491.9</v>
      </c>
      <c r="J38" s="41">
        <f t="shared" si="0"/>
        <v>377.47</v>
      </c>
      <c r="K38" s="338" t="s">
        <v>74</v>
      </c>
      <c r="L38" s="337"/>
      <c r="M38" s="337"/>
      <c r="N38" s="2">
        <f>120*2*0.4*0.4</f>
        <v>38.400000000000006</v>
      </c>
      <c r="O38" s="58"/>
    </row>
    <row r="39" spans="1:15" ht="56.25" customHeight="1" x14ac:dyDescent="0.2">
      <c r="A39" s="34" t="s">
        <v>75</v>
      </c>
      <c r="B39" s="42" t="s">
        <v>34</v>
      </c>
      <c r="C39" s="38" t="s">
        <v>76</v>
      </c>
      <c r="D39" s="57" t="s">
        <v>77</v>
      </c>
      <c r="E39" s="38" t="s">
        <v>51</v>
      </c>
      <c r="F39" s="39">
        <f>F38</f>
        <v>38.400000000000006</v>
      </c>
      <c r="G39" s="39">
        <f t="shared" si="3"/>
        <v>49.25</v>
      </c>
      <c r="H39" s="44">
        <v>37.799999999999997</v>
      </c>
      <c r="I39" s="40">
        <f t="shared" si="4"/>
        <v>1891.2</v>
      </c>
      <c r="J39" s="41">
        <f t="shared" si="0"/>
        <v>1451.52</v>
      </c>
      <c r="K39" s="67"/>
      <c r="L39" s="67"/>
      <c r="M39" s="67"/>
      <c r="O39" s="58"/>
    </row>
    <row r="40" spans="1:15" ht="33.75" x14ac:dyDescent="0.2">
      <c r="A40" s="34" t="s">
        <v>78</v>
      </c>
      <c r="B40" s="42" t="s">
        <v>79</v>
      </c>
      <c r="C40" s="38" t="s">
        <v>80</v>
      </c>
      <c r="D40" s="57" t="s">
        <v>81</v>
      </c>
      <c r="E40" s="38" t="s">
        <v>43</v>
      </c>
      <c r="F40" s="39">
        <v>744</v>
      </c>
      <c r="G40" s="39">
        <f t="shared" si="3"/>
        <v>36.5</v>
      </c>
      <c r="H40" s="44">
        <v>28.02</v>
      </c>
      <c r="I40" s="40">
        <f t="shared" si="4"/>
        <v>27156</v>
      </c>
      <c r="J40" s="41">
        <f t="shared" si="0"/>
        <v>20846.88</v>
      </c>
      <c r="K40" s="336" t="s">
        <v>82</v>
      </c>
      <c r="L40" s="337"/>
      <c r="M40" s="337"/>
    </row>
    <row r="41" spans="1:15" ht="30" customHeight="1" x14ac:dyDescent="0.2">
      <c r="A41" s="68"/>
      <c r="B41" s="69"/>
      <c r="C41" s="70"/>
      <c r="D41" s="71" t="s">
        <v>83</v>
      </c>
      <c r="E41" s="72"/>
      <c r="F41" s="73"/>
      <c r="G41" s="73"/>
      <c r="H41" s="74"/>
      <c r="I41" s="75">
        <f>SUM(I35:I40)</f>
        <v>44438.42</v>
      </c>
      <c r="J41" s="41">
        <f t="shared" si="0"/>
        <v>0</v>
      </c>
    </row>
    <row r="42" spans="1:15" ht="30" customHeight="1" x14ac:dyDescent="0.2">
      <c r="A42" s="34">
        <v>5</v>
      </c>
      <c r="B42" s="42"/>
      <c r="C42" s="55"/>
      <c r="D42" s="37" t="s">
        <v>84</v>
      </c>
      <c r="E42" s="38"/>
      <c r="F42" s="39"/>
      <c r="G42" s="39"/>
      <c r="H42" s="44"/>
      <c r="I42" s="40"/>
      <c r="J42" s="41">
        <f t="shared" si="0"/>
        <v>0</v>
      </c>
    </row>
    <row r="43" spans="1:15" ht="30" customHeight="1" x14ac:dyDescent="0.2">
      <c r="A43" s="34" t="s">
        <v>85</v>
      </c>
      <c r="B43" s="42" t="s">
        <v>79</v>
      </c>
      <c r="C43" s="38" t="s">
        <v>86</v>
      </c>
      <c r="D43" s="57" t="s">
        <v>87</v>
      </c>
      <c r="E43" s="38" t="s">
        <v>88</v>
      </c>
      <c r="F43" s="39">
        <v>12</v>
      </c>
      <c r="G43" s="39">
        <f>ROUND(H43+(H43*$I$13),2)</f>
        <v>27.88</v>
      </c>
      <c r="H43" s="44">
        <v>21.4</v>
      </c>
      <c r="I43" s="40">
        <f t="shared" ref="I43:I57" si="5">ROUND(F43*G43,2)</f>
        <v>334.56</v>
      </c>
      <c r="J43" s="41">
        <f t="shared" si="0"/>
        <v>256.8</v>
      </c>
    </row>
    <row r="44" spans="1:15" ht="63.6" customHeight="1" x14ac:dyDescent="0.2">
      <c r="A44" s="34" t="s">
        <v>89</v>
      </c>
      <c r="B44" s="42" t="s">
        <v>79</v>
      </c>
      <c r="C44" s="76" t="s">
        <v>90</v>
      </c>
      <c r="D44" s="77" t="s">
        <v>91</v>
      </c>
      <c r="E44" s="76" t="s">
        <v>88</v>
      </c>
      <c r="F44" s="78">
        <v>7</v>
      </c>
      <c r="G44" s="39">
        <f t="shared" ref="G44:G57" si="6">ROUND(H44+(H44*$I$13),2)</f>
        <v>135.69999999999999</v>
      </c>
      <c r="H44" s="44">
        <v>104.16</v>
      </c>
      <c r="I44" s="40">
        <f t="shared" si="5"/>
        <v>949.9</v>
      </c>
      <c r="J44" s="41">
        <f t="shared" si="0"/>
        <v>729.12</v>
      </c>
      <c r="N44" s="58">
        <f>SUM(F43:F45,F47:F57)</f>
        <v>48</v>
      </c>
    </row>
    <row r="45" spans="1:15" ht="50.45" customHeight="1" x14ac:dyDescent="0.2">
      <c r="A45" s="34" t="s">
        <v>92</v>
      </c>
      <c r="B45" s="42" t="s">
        <v>79</v>
      </c>
      <c r="C45" s="76" t="s">
        <v>93</v>
      </c>
      <c r="D45" s="77" t="s">
        <v>94</v>
      </c>
      <c r="E45" s="76" t="s">
        <v>88</v>
      </c>
      <c r="F45" s="78">
        <v>1</v>
      </c>
      <c r="G45" s="39">
        <f t="shared" si="6"/>
        <v>448.29</v>
      </c>
      <c r="H45" s="44">
        <v>344.1</v>
      </c>
      <c r="I45" s="40">
        <f t="shared" si="5"/>
        <v>448.29</v>
      </c>
      <c r="J45" s="41">
        <f t="shared" si="0"/>
        <v>344.1</v>
      </c>
    </row>
    <row r="46" spans="1:15" ht="45" customHeight="1" x14ac:dyDescent="0.2">
      <c r="A46" s="34" t="s">
        <v>95</v>
      </c>
      <c r="B46" s="42" t="s">
        <v>79</v>
      </c>
      <c r="C46" s="76" t="s">
        <v>96</v>
      </c>
      <c r="D46" s="77" t="s">
        <v>97</v>
      </c>
      <c r="E46" s="76" t="s">
        <v>98</v>
      </c>
      <c r="F46" s="78">
        <v>85</v>
      </c>
      <c r="G46" s="39">
        <f t="shared" si="6"/>
        <v>212.55</v>
      </c>
      <c r="H46" s="44">
        <v>163.15</v>
      </c>
      <c r="I46" s="40">
        <f t="shared" si="5"/>
        <v>18066.75</v>
      </c>
      <c r="J46" s="41">
        <f t="shared" si="0"/>
        <v>13867.75</v>
      </c>
    </row>
    <row r="47" spans="1:15" ht="55.9" customHeight="1" x14ac:dyDescent="0.2">
      <c r="A47" s="34" t="s">
        <v>99</v>
      </c>
      <c r="B47" s="42" t="s">
        <v>100</v>
      </c>
      <c r="C47" s="76">
        <v>3916</v>
      </c>
      <c r="D47" s="77" t="s">
        <v>101</v>
      </c>
      <c r="E47" s="76" t="s">
        <v>88</v>
      </c>
      <c r="F47" s="78">
        <v>1</v>
      </c>
      <c r="G47" s="39">
        <f t="shared" si="6"/>
        <v>361.58</v>
      </c>
      <c r="H47" s="44">
        <v>277.54000000000002</v>
      </c>
      <c r="I47" s="40">
        <f t="shared" si="5"/>
        <v>361.58</v>
      </c>
      <c r="J47" s="41">
        <f t="shared" si="0"/>
        <v>277.54000000000002</v>
      </c>
    </row>
    <row r="48" spans="1:15" ht="50.45" customHeight="1" x14ac:dyDescent="0.2">
      <c r="A48" s="34" t="s">
        <v>102</v>
      </c>
      <c r="B48" s="42" t="s">
        <v>100</v>
      </c>
      <c r="C48" s="76">
        <v>6321</v>
      </c>
      <c r="D48" s="77" t="s">
        <v>103</v>
      </c>
      <c r="E48" s="76" t="s">
        <v>88</v>
      </c>
      <c r="F48" s="78">
        <v>1</v>
      </c>
      <c r="G48" s="39">
        <f t="shared" si="6"/>
        <v>578.5</v>
      </c>
      <c r="H48" s="44">
        <v>444.04</v>
      </c>
      <c r="I48" s="40">
        <f t="shared" si="5"/>
        <v>578.5</v>
      </c>
      <c r="J48" s="41">
        <f t="shared" si="0"/>
        <v>444.04</v>
      </c>
    </row>
    <row r="49" spans="1:10" ht="52.9" customHeight="1" x14ac:dyDescent="0.2">
      <c r="A49" s="34" t="s">
        <v>104</v>
      </c>
      <c r="B49" s="42" t="s">
        <v>100</v>
      </c>
      <c r="C49" s="76">
        <v>6027</v>
      </c>
      <c r="D49" s="77" t="s">
        <v>105</v>
      </c>
      <c r="E49" s="76" t="s">
        <v>88</v>
      </c>
      <c r="F49" s="78">
        <v>1</v>
      </c>
      <c r="G49" s="39">
        <f t="shared" si="6"/>
        <v>1236.55</v>
      </c>
      <c r="H49" s="44">
        <v>949.15</v>
      </c>
      <c r="I49" s="40">
        <f t="shared" si="5"/>
        <v>1236.55</v>
      </c>
      <c r="J49" s="41">
        <f t="shared" si="0"/>
        <v>949.15</v>
      </c>
    </row>
    <row r="50" spans="1:10" ht="42.6" customHeight="1" x14ac:dyDescent="0.2">
      <c r="A50" s="34" t="s">
        <v>106</v>
      </c>
      <c r="B50" s="42" t="s">
        <v>100</v>
      </c>
      <c r="C50" s="76">
        <v>4183</v>
      </c>
      <c r="D50" s="77" t="s">
        <v>107</v>
      </c>
      <c r="E50" s="76" t="s">
        <v>88</v>
      </c>
      <c r="F50" s="78">
        <v>2</v>
      </c>
      <c r="G50" s="39">
        <f t="shared" si="6"/>
        <v>183.46</v>
      </c>
      <c r="H50" s="44">
        <v>140.82</v>
      </c>
      <c r="I50" s="40">
        <f t="shared" si="5"/>
        <v>366.92</v>
      </c>
      <c r="J50" s="41">
        <f t="shared" si="0"/>
        <v>281.64</v>
      </c>
    </row>
    <row r="51" spans="1:10" ht="40.9" customHeight="1" x14ac:dyDescent="0.2">
      <c r="A51" s="34" t="s">
        <v>108</v>
      </c>
      <c r="B51" s="42" t="s">
        <v>100</v>
      </c>
      <c r="C51" s="76">
        <v>393</v>
      </c>
      <c r="D51" s="77" t="s">
        <v>109</v>
      </c>
      <c r="E51" s="76" t="s">
        <v>88</v>
      </c>
      <c r="F51" s="78">
        <v>2</v>
      </c>
      <c r="G51" s="39">
        <f t="shared" si="6"/>
        <v>234.36</v>
      </c>
      <c r="H51" s="44">
        <v>179.89</v>
      </c>
      <c r="I51" s="40">
        <f t="shared" si="5"/>
        <v>468.72</v>
      </c>
      <c r="J51" s="41">
        <f t="shared" si="0"/>
        <v>359.78</v>
      </c>
    </row>
    <row r="52" spans="1:10" ht="30" customHeight="1" x14ac:dyDescent="0.2">
      <c r="A52" s="34" t="s">
        <v>110</v>
      </c>
      <c r="B52" s="42" t="s">
        <v>100</v>
      </c>
      <c r="C52" s="76">
        <v>783</v>
      </c>
      <c r="D52" s="77" t="s">
        <v>111</v>
      </c>
      <c r="E52" s="76" t="s">
        <v>88</v>
      </c>
      <c r="F52" s="78">
        <v>1</v>
      </c>
      <c r="G52" s="39">
        <f t="shared" si="6"/>
        <v>433.82</v>
      </c>
      <c r="H52" s="44">
        <v>332.99</v>
      </c>
      <c r="I52" s="40">
        <f t="shared" si="5"/>
        <v>433.82</v>
      </c>
      <c r="J52" s="41">
        <f t="shared" si="0"/>
        <v>332.99</v>
      </c>
    </row>
    <row r="53" spans="1:10" ht="30" customHeight="1" x14ac:dyDescent="0.2">
      <c r="A53" s="34" t="s">
        <v>112</v>
      </c>
      <c r="B53" s="42" t="s">
        <v>100</v>
      </c>
      <c r="C53" s="76">
        <v>782</v>
      </c>
      <c r="D53" s="77" t="s">
        <v>113</v>
      </c>
      <c r="E53" s="76" t="s">
        <v>114</v>
      </c>
      <c r="F53" s="78">
        <v>1</v>
      </c>
      <c r="G53" s="39">
        <f t="shared" si="6"/>
        <v>158.5</v>
      </c>
      <c r="H53" s="44">
        <v>121.66</v>
      </c>
      <c r="I53" s="40">
        <f t="shared" si="5"/>
        <v>158.5</v>
      </c>
      <c r="J53" s="41">
        <f t="shared" si="0"/>
        <v>121.66</v>
      </c>
    </row>
    <row r="54" spans="1:10" ht="49.9" customHeight="1" x14ac:dyDescent="0.2">
      <c r="A54" s="34" t="s">
        <v>115</v>
      </c>
      <c r="B54" s="79" t="s">
        <v>79</v>
      </c>
      <c r="C54" s="76" t="s">
        <v>116</v>
      </c>
      <c r="D54" s="77" t="s">
        <v>117</v>
      </c>
      <c r="E54" s="76" t="s">
        <v>26</v>
      </c>
      <c r="F54" s="78">
        <v>14</v>
      </c>
      <c r="G54" s="39">
        <f t="shared" si="6"/>
        <v>17.309999999999999</v>
      </c>
      <c r="H54" s="80">
        <v>13.29</v>
      </c>
      <c r="I54" s="40">
        <f t="shared" si="5"/>
        <v>242.34</v>
      </c>
      <c r="J54" s="41">
        <f t="shared" si="0"/>
        <v>186.06</v>
      </c>
    </row>
    <row r="55" spans="1:10" ht="49.9" customHeight="1" x14ac:dyDescent="0.2">
      <c r="A55" s="34" t="s">
        <v>118</v>
      </c>
      <c r="B55" s="79" t="s">
        <v>100</v>
      </c>
      <c r="C55" s="76">
        <v>4892</v>
      </c>
      <c r="D55" s="77" t="s">
        <v>119</v>
      </c>
      <c r="E55" s="76" t="s">
        <v>26</v>
      </c>
      <c r="F55" s="78">
        <v>1</v>
      </c>
      <c r="G55" s="39">
        <f t="shared" si="6"/>
        <v>76.010000000000005</v>
      </c>
      <c r="H55" s="81">
        <v>58.34</v>
      </c>
      <c r="I55" s="82">
        <f t="shared" si="5"/>
        <v>76.010000000000005</v>
      </c>
      <c r="J55" s="41">
        <f t="shared" si="0"/>
        <v>58.34</v>
      </c>
    </row>
    <row r="56" spans="1:10" ht="49.9" customHeight="1" x14ac:dyDescent="0.2">
      <c r="A56" s="34" t="s">
        <v>120</v>
      </c>
      <c r="B56" s="79" t="s">
        <v>79</v>
      </c>
      <c r="C56" s="76" t="s">
        <v>121</v>
      </c>
      <c r="D56" s="77" t="s">
        <v>122</v>
      </c>
      <c r="E56" s="76" t="s">
        <v>26</v>
      </c>
      <c r="F56" s="78">
        <v>1</v>
      </c>
      <c r="G56" s="39">
        <f t="shared" si="6"/>
        <v>1615.34</v>
      </c>
      <c r="H56" s="81">
        <v>1239.9000000000001</v>
      </c>
      <c r="I56" s="82">
        <f t="shared" si="5"/>
        <v>1615.34</v>
      </c>
      <c r="J56" s="41">
        <f t="shared" si="0"/>
        <v>1239.9000000000001</v>
      </c>
    </row>
    <row r="57" spans="1:10" ht="49.9" customHeight="1" x14ac:dyDescent="0.2">
      <c r="A57" s="34" t="s">
        <v>123</v>
      </c>
      <c r="B57" s="79" t="s">
        <v>100</v>
      </c>
      <c r="C57" s="76">
        <v>39961</v>
      </c>
      <c r="D57" s="77" t="s">
        <v>124</v>
      </c>
      <c r="E57" s="76" t="s">
        <v>26</v>
      </c>
      <c r="F57" s="78">
        <v>3</v>
      </c>
      <c r="G57" s="39">
        <f t="shared" si="6"/>
        <v>25.43</v>
      </c>
      <c r="H57" s="81">
        <v>19.52</v>
      </c>
      <c r="I57" s="82">
        <f t="shared" si="5"/>
        <v>76.290000000000006</v>
      </c>
      <c r="J57" s="41">
        <f t="shared" si="0"/>
        <v>58.56</v>
      </c>
    </row>
    <row r="58" spans="1:10" ht="30" customHeight="1" x14ac:dyDescent="0.2">
      <c r="A58" s="83"/>
      <c r="B58" s="84"/>
      <c r="C58" s="76"/>
      <c r="D58" s="85" t="s">
        <v>125</v>
      </c>
      <c r="E58" s="76"/>
      <c r="F58" s="78"/>
      <c r="G58" s="78"/>
      <c r="H58" s="80"/>
      <c r="I58" s="86">
        <f>SUM(I43:I57)</f>
        <v>25414.07</v>
      </c>
      <c r="J58" s="41">
        <f t="shared" si="0"/>
        <v>0</v>
      </c>
    </row>
    <row r="59" spans="1:10" ht="30" customHeight="1" x14ac:dyDescent="0.2">
      <c r="A59" s="83">
        <v>6</v>
      </c>
      <c r="B59" s="84"/>
      <c r="C59" s="76"/>
      <c r="D59" s="85" t="s">
        <v>126</v>
      </c>
      <c r="E59" s="76"/>
      <c r="F59" s="78"/>
      <c r="G59" s="78"/>
      <c r="H59" s="80"/>
      <c r="I59" s="86"/>
      <c r="J59" s="41">
        <f t="shared" si="0"/>
        <v>0</v>
      </c>
    </row>
    <row r="60" spans="1:10" ht="42" customHeight="1" x14ac:dyDescent="0.2">
      <c r="A60" s="34" t="s">
        <v>127</v>
      </c>
      <c r="B60" s="79" t="s">
        <v>34</v>
      </c>
      <c r="C60" s="76" t="s">
        <v>128</v>
      </c>
      <c r="D60" s="77" t="s">
        <v>129</v>
      </c>
      <c r="E60" s="76" t="s">
        <v>130</v>
      </c>
      <c r="F60" s="87">
        <v>1.4999999999999999E-2</v>
      </c>
      <c r="G60" s="88">
        <f>ROUND(H60+(H60*$I$13),2)</f>
        <v>1417994.45</v>
      </c>
      <c r="H60" s="89">
        <f>J60</f>
        <v>1088420.6700000002</v>
      </c>
      <c r="I60" s="40">
        <f t="shared" ref="I60" si="7">ROUND(F60*G60,2)</f>
        <v>21269.919999999998</v>
      </c>
      <c r="J60" s="41">
        <f>SUM(J19:J57)</f>
        <v>1088420.6700000002</v>
      </c>
    </row>
    <row r="61" spans="1:10" ht="30" customHeight="1" x14ac:dyDescent="0.2">
      <c r="A61" s="83"/>
      <c r="B61" s="84"/>
      <c r="C61" s="76"/>
      <c r="D61" s="85" t="s">
        <v>125</v>
      </c>
      <c r="E61" s="76"/>
      <c r="F61" s="90"/>
      <c r="G61" s="78"/>
      <c r="H61" s="80"/>
      <c r="I61" s="86">
        <f>SUM(I60:I60)</f>
        <v>21269.919999999998</v>
      </c>
      <c r="J61" s="41">
        <f t="shared" si="0"/>
        <v>0</v>
      </c>
    </row>
    <row r="62" spans="1:10" x14ac:dyDescent="0.2">
      <c r="A62" s="83"/>
      <c r="B62" s="84"/>
      <c r="C62" s="76"/>
      <c r="D62" s="85"/>
      <c r="E62" s="76"/>
      <c r="F62" s="78"/>
      <c r="G62" s="78"/>
      <c r="H62" s="80"/>
      <c r="I62" s="91"/>
      <c r="J62" s="92"/>
    </row>
    <row r="63" spans="1:10" ht="19.899999999999999" customHeight="1" x14ac:dyDescent="0.2">
      <c r="A63" s="339" t="s">
        <v>31</v>
      </c>
      <c r="B63" s="340"/>
      <c r="C63" s="340"/>
      <c r="D63" s="340"/>
      <c r="E63" s="340"/>
      <c r="F63" s="340"/>
      <c r="G63" s="341"/>
      <c r="H63" s="93"/>
      <c r="I63" s="94">
        <f>I20+I26+I32+I41+I58+I61</f>
        <v>1439281.7199999997</v>
      </c>
      <c r="J63" s="95"/>
    </row>
    <row r="64" spans="1:10" ht="12.75" x14ac:dyDescent="0.2">
      <c r="A64" s="7"/>
      <c r="B64" s="7"/>
      <c r="C64" s="96"/>
      <c r="D64" s="96"/>
      <c r="E64" s="7"/>
      <c r="F64" s="7"/>
      <c r="G64" s="7"/>
      <c r="H64" s="7"/>
      <c r="I64" s="7"/>
    </row>
    <row r="65" spans="1:10" s="99" customFormat="1" ht="10.9" customHeight="1" x14ac:dyDescent="0.2">
      <c r="A65" s="97"/>
      <c r="B65" s="97"/>
      <c r="C65" s="328" t="s">
        <v>131</v>
      </c>
      <c r="D65" s="328"/>
      <c r="E65" s="97"/>
      <c r="F65" s="329" t="s">
        <v>132</v>
      </c>
      <c r="G65" s="329"/>
      <c r="H65" s="96"/>
      <c r="I65" s="97"/>
      <c r="J65" s="98"/>
    </row>
    <row r="66" spans="1:10" s="99" customFormat="1" ht="12.75" x14ac:dyDescent="0.2">
      <c r="A66" s="100"/>
      <c r="B66" s="100"/>
      <c r="C66" s="330" t="s">
        <v>133</v>
      </c>
      <c r="D66" s="330"/>
      <c r="E66" s="100"/>
      <c r="F66" s="330" t="s">
        <v>134</v>
      </c>
      <c r="G66" s="330"/>
      <c r="H66" s="101"/>
      <c r="I66" s="100"/>
      <c r="J66" s="102"/>
    </row>
    <row r="67" spans="1:10" s="99" customFormat="1" ht="12.75" hidden="1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10" s="99" customFormat="1" ht="12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10" s="99" customFormat="1" ht="12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10" s="99" customFormat="1" ht="12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10" s="99" customFormat="1" ht="12.75" x14ac:dyDescent="0.2">
      <c r="A71" s="103"/>
      <c r="B71" s="103"/>
      <c r="C71" s="103"/>
      <c r="D71" s="103"/>
      <c r="E71" s="103"/>
      <c r="F71" s="103"/>
      <c r="G71" s="103"/>
      <c r="H71" s="103"/>
      <c r="I71" s="104"/>
      <c r="J71" s="105"/>
    </row>
    <row r="72" spans="1:10" s="99" customFormat="1" ht="10.9" customHeight="1" x14ac:dyDescent="0.2">
      <c r="A72" s="98"/>
      <c r="B72" s="98"/>
      <c r="C72" s="331"/>
      <c r="D72" s="331"/>
      <c r="E72" s="98"/>
      <c r="F72" s="332"/>
      <c r="G72" s="332"/>
      <c r="H72" s="106"/>
      <c r="I72" s="98"/>
      <c r="J72" s="98"/>
    </row>
    <row r="73" spans="1:10" s="99" customFormat="1" ht="12.75" x14ac:dyDescent="0.2">
      <c r="A73" s="102"/>
      <c r="B73" s="102"/>
      <c r="C73" s="327"/>
      <c r="D73" s="327"/>
      <c r="E73" s="102"/>
      <c r="F73" s="327"/>
      <c r="G73" s="327"/>
      <c r="H73" s="107"/>
      <c r="I73" s="108"/>
      <c r="J73" s="108"/>
    </row>
    <row r="77" spans="1:10" ht="12" thickBot="1" x14ac:dyDescent="0.25"/>
    <row r="78" spans="1:10" ht="1.9" customHeight="1" x14ac:dyDescent="0.25">
      <c r="F78" s="319" t="s">
        <v>135</v>
      </c>
      <c r="G78" s="320"/>
      <c r="H78" s="320"/>
      <c r="I78" s="321"/>
      <c r="J78" s="109"/>
    </row>
    <row r="79" spans="1:10" ht="11.25" hidden="1" customHeight="1" x14ac:dyDescent="0.2">
      <c r="F79" s="110" t="s">
        <v>136</v>
      </c>
      <c r="G79" s="325"/>
      <c r="H79" s="325"/>
      <c r="I79" s="326"/>
      <c r="J79" s="111"/>
    </row>
    <row r="80" spans="1:10" ht="15" hidden="1" customHeight="1" x14ac:dyDescent="0.25">
      <c r="F80"/>
      <c r="G80" s="313">
        <v>743259.46</v>
      </c>
      <c r="H80" s="314"/>
      <c r="I80" s="315"/>
      <c r="J80" s="107"/>
    </row>
    <row r="81" spans="1:15" ht="56.25" hidden="1" x14ac:dyDescent="0.2">
      <c r="F81" s="110" t="s">
        <v>137</v>
      </c>
      <c r="G81" s="313">
        <f>I63*1.2</f>
        <v>1727138.0639999995</v>
      </c>
      <c r="H81" s="314"/>
      <c r="I81" s="315"/>
      <c r="J81" s="107"/>
    </row>
    <row r="82" spans="1:15" ht="23.25" hidden="1" thickBot="1" x14ac:dyDescent="0.25">
      <c r="F82" s="112" t="s">
        <v>138</v>
      </c>
      <c r="G82" s="316">
        <f>G81-G80</f>
        <v>983878.60399999958</v>
      </c>
      <c r="H82" s="317"/>
      <c r="I82" s="318"/>
      <c r="J82" s="113"/>
    </row>
    <row r="85" spans="1:15" ht="12" thickBot="1" x14ac:dyDescent="0.25"/>
    <row r="86" spans="1:15" ht="15" x14ac:dyDescent="0.25">
      <c r="L86" s="319" t="s">
        <v>135</v>
      </c>
      <c r="M86" s="320"/>
      <c r="N86" s="320"/>
      <c r="O86" s="321"/>
    </row>
    <row r="87" spans="1:15" ht="22.5" x14ac:dyDescent="0.35">
      <c r="A87" s="322" t="s">
        <v>139</v>
      </c>
      <c r="B87" s="322"/>
      <c r="C87" s="322"/>
      <c r="D87" s="114">
        <f>I63</f>
        <v>1439281.7199999997</v>
      </c>
      <c r="E87" s="115" t="s">
        <v>140</v>
      </c>
      <c r="F87" s="115"/>
      <c r="G87" s="323">
        <f>'[2]CAPELINHA Grillo mod'!I45</f>
        <v>347756.74999999994</v>
      </c>
      <c r="H87" s="324"/>
      <c r="I87" s="116">
        <f>D87+G87</f>
        <v>1787038.4699999997</v>
      </c>
      <c r="J87" s="117"/>
      <c r="L87" s="110" t="s">
        <v>136</v>
      </c>
      <c r="M87" s="325"/>
      <c r="N87" s="325"/>
      <c r="O87" s="326"/>
    </row>
    <row r="88" spans="1:15" ht="22.5" x14ac:dyDescent="0.2">
      <c r="L88" s="110" t="s">
        <v>141</v>
      </c>
      <c r="M88" s="313">
        <v>743259.46</v>
      </c>
      <c r="N88" s="314"/>
      <c r="O88" s="315"/>
    </row>
    <row r="89" spans="1:15" ht="56.25" x14ac:dyDescent="0.2">
      <c r="L89" s="110" t="s">
        <v>142</v>
      </c>
      <c r="M89" s="313">
        <v>62980.9</v>
      </c>
      <c r="N89" s="314"/>
      <c r="O89" s="315"/>
    </row>
    <row r="90" spans="1:15" ht="33.75" x14ac:dyDescent="0.35">
      <c r="D90" s="118"/>
      <c r="L90" s="110" t="s">
        <v>143</v>
      </c>
      <c r="M90" s="313">
        <f>M88-M89</f>
        <v>680278.55999999994</v>
      </c>
      <c r="N90" s="314"/>
      <c r="O90" s="315"/>
    </row>
    <row r="91" spans="1:15" ht="90" x14ac:dyDescent="0.2">
      <c r="L91" s="110" t="s">
        <v>144</v>
      </c>
      <c r="M91" s="313">
        <f>I63</f>
        <v>1439281.7199999997</v>
      </c>
      <c r="N91" s="314"/>
      <c r="O91" s="315"/>
    </row>
    <row r="92" spans="1:15" ht="45.75" thickBot="1" x14ac:dyDescent="0.25">
      <c r="L92" s="112" t="s">
        <v>138</v>
      </c>
      <c r="M92" s="316">
        <f>M91-M90</f>
        <v>759003.1599999998</v>
      </c>
      <c r="N92" s="317"/>
      <c r="O92" s="318"/>
    </row>
    <row r="93" spans="1:15" ht="78.75" x14ac:dyDescent="0.2">
      <c r="L93" s="110" t="s">
        <v>137</v>
      </c>
      <c r="M93" s="313">
        <f>M91*1.15</f>
        <v>1655173.9779999997</v>
      </c>
      <c r="N93" s="314"/>
      <c r="O93" s="315"/>
    </row>
    <row r="94" spans="1:15" ht="79.5" thickBot="1" x14ac:dyDescent="0.25">
      <c r="L94" s="112" t="s">
        <v>145</v>
      </c>
      <c r="M94" s="316">
        <f>M93-M90</f>
        <v>974895.41799999971</v>
      </c>
      <c r="N94" s="317"/>
      <c r="O94" s="318"/>
    </row>
  </sheetData>
  <mergeCells count="40">
    <mergeCell ref="A63:G63"/>
    <mergeCell ref="A1:I4"/>
    <mergeCell ref="A5:I5"/>
    <mergeCell ref="A10:I10"/>
    <mergeCell ref="E14:E15"/>
    <mergeCell ref="G14:G15"/>
    <mergeCell ref="A16:A17"/>
    <mergeCell ref="B16:B17"/>
    <mergeCell ref="C16:C17"/>
    <mergeCell ref="D16:D17"/>
    <mergeCell ref="E16:E17"/>
    <mergeCell ref="F16:F17"/>
    <mergeCell ref="G16:I16"/>
    <mergeCell ref="K37:M37"/>
    <mergeCell ref="K38:M38"/>
    <mergeCell ref="K40:M40"/>
    <mergeCell ref="G81:I81"/>
    <mergeCell ref="C65:D65"/>
    <mergeCell ref="F65:G65"/>
    <mergeCell ref="C66:D66"/>
    <mergeCell ref="F66:G66"/>
    <mergeCell ref="C72:D72"/>
    <mergeCell ref="F72:G72"/>
    <mergeCell ref="C73:D73"/>
    <mergeCell ref="F73:G73"/>
    <mergeCell ref="F78:I78"/>
    <mergeCell ref="G79:I79"/>
    <mergeCell ref="G80:I80"/>
    <mergeCell ref="M94:O94"/>
    <mergeCell ref="G82:I82"/>
    <mergeCell ref="L86:O86"/>
    <mergeCell ref="A87:C87"/>
    <mergeCell ref="G87:H87"/>
    <mergeCell ref="M87:O87"/>
    <mergeCell ref="M88:O88"/>
    <mergeCell ref="M89:O89"/>
    <mergeCell ref="M90:O90"/>
    <mergeCell ref="M91:O91"/>
    <mergeCell ref="M92:O92"/>
    <mergeCell ref="M93:O9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60" orientation="portrait" verticalDpi="300" r:id="rId1"/>
  <rowBreaks count="1" manualBreakCount="1">
    <brk id="41" max="8" man="1"/>
  </rowBreaks>
  <colBreaks count="1" manualBreakCount="1">
    <brk id="10" max="8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E9CC-0F2A-4D3D-9400-9FB60D673B89}">
  <sheetPr>
    <tabColor rgb="FF00B050"/>
  </sheetPr>
  <dimension ref="A1:O94"/>
  <sheetViews>
    <sheetView showGridLines="0" view="pageBreakPreview" zoomScale="80" zoomScaleNormal="100" zoomScaleSheetLayoutView="80" workbookViewId="0">
      <selection activeCell="G31" sqref="G31"/>
    </sheetView>
  </sheetViews>
  <sheetFormatPr defaultColWidth="9.140625" defaultRowHeight="11.25" x14ac:dyDescent="0.2"/>
  <cols>
    <col min="1" max="1" width="5.5703125" style="2" customWidth="1"/>
    <col min="2" max="2" width="10.140625" style="2" bestFit="1" customWidth="1"/>
    <col min="3" max="3" width="8.7109375" style="2" customWidth="1"/>
    <col min="4" max="4" width="48.7109375" style="2" customWidth="1"/>
    <col min="5" max="5" width="5.85546875" style="2" customWidth="1"/>
    <col min="6" max="6" width="11.5703125" style="2" customWidth="1"/>
    <col min="7" max="7" width="12.140625" style="2" bestFit="1" customWidth="1"/>
    <col min="8" max="8" width="22" style="2" customWidth="1"/>
    <col min="9" max="9" width="19.5703125" style="2" bestFit="1" customWidth="1"/>
    <col min="10" max="10" width="19.5703125" style="2" customWidth="1"/>
    <col min="11" max="11" width="9.140625" style="2"/>
    <col min="12" max="12" width="7.140625" style="2" customWidth="1"/>
    <col min="13" max="16384" width="9.140625" style="2"/>
  </cols>
  <sheetData>
    <row r="1" spans="1:10" ht="15" customHeight="1" x14ac:dyDescent="0.2">
      <c r="A1" s="370" t="str">
        <f>'[2]CRONO F-F TURMALINA SICOR'!A1:J4</f>
        <v>CIM JEQUITINHONHA
Consórcio Integrado Multifinalitário do Vale do Jequitinhonha
RUA ZECA BRUNO 131 - CAZUZA DIAMANTINA/MG 
Email: engcivil.cimjequitinhonha@gmail.com</v>
      </c>
      <c r="B1" s="371"/>
      <c r="C1" s="372"/>
      <c r="D1" s="372"/>
      <c r="E1" s="372"/>
      <c r="F1" s="372"/>
      <c r="G1" s="372"/>
      <c r="H1" s="372"/>
      <c r="I1" s="373"/>
      <c r="J1" s="1"/>
    </row>
    <row r="2" spans="1:10" ht="15" customHeight="1" x14ac:dyDescent="0.2">
      <c r="A2" s="374"/>
      <c r="B2" s="375"/>
      <c r="C2" s="375"/>
      <c r="D2" s="375"/>
      <c r="E2" s="375"/>
      <c r="F2" s="375"/>
      <c r="G2" s="375"/>
      <c r="H2" s="375"/>
      <c r="I2" s="376"/>
      <c r="J2" s="1"/>
    </row>
    <row r="3" spans="1:10" ht="15" customHeight="1" x14ac:dyDescent="0.2">
      <c r="A3" s="374"/>
      <c r="B3" s="375"/>
      <c r="C3" s="375"/>
      <c r="D3" s="375"/>
      <c r="E3" s="375"/>
      <c r="F3" s="375"/>
      <c r="G3" s="375"/>
      <c r="H3" s="375"/>
      <c r="I3" s="376"/>
      <c r="J3" s="1"/>
    </row>
    <row r="4" spans="1:10" ht="27" customHeight="1" thickBot="1" x14ac:dyDescent="0.25">
      <c r="A4" s="377"/>
      <c r="B4" s="378"/>
      <c r="C4" s="378"/>
      <c r="D4" s="378"/>
      <c r="E4" s="378"/>
      <c r="F4" s="378"/>
      <c r="G4" s="378"/>
      <c r="H4" s="378"/>
      <c r="I4" s="379"/>
      <c r="J4" s="1"/>
    </row>
    <row r="5" spans="1:10" x14ac:dyDescent="0.2">
      <c r="A5" s="380" t="s">
        <v>0</v>
      </c>
      <c r="B5" s="381"/>
      <c r="C5" s="381"/>
      <c r="D5" s="381"/>
      <c r="E5" s="381"/>
      <c r="F5" s="381"/>
      <c r="G5" s="381"/>
      <c r="H5" s="381"/>
      <c r="I5" s="382"/>
      <c r="J5" s="3"/>
    </row>
    <row r="6" spans="1:10" x14ac:dyDescent="0.2">
      <c r="A6" s="119" t="s">
        <v>1</v>
      </c>
      <c r="B6" s="120"/>
      <c r="C6" s="120" t="s">
        <v>2</v>
      </c>
      <c r="D6" s="121"/>
      <c r="I6" s="122"/>
    </row>
    <row r="7" spans="1:10" x14ac:dyDescent="0.2">
      <c r="A7" s="119" t="s">
        <v>3</v>
      </c>
      <c r="B7" s="120"/>
      <c r="C7" s="123" t="s">
        <v>146</v>
      </c>
      <c r="D7" s="121"/>
      <c r="I7" s="122"/>
    </row>
    <row r="8" spans="1:10" ht="12" thickBot="1" x14ac:dyDescent="0.25">
      <c r="A8" s="124" t="s">
        <v>5</v>
      </c>
      <c r="B8" s="125"/>
      <c r="C8" s="125" t="s">
        <v>6</v>
      </c>
      <c r="D8" s="125"/>
      <c r="E8" s="126"/>
      <c r="F8" s="126"/>
      <c r="G8" s="126"/>
      <c r="H8" s="126"/>
      <c r="I8" s="127"/>
    </row>
    <row r="9" spans="1:10" x14ac:dyDescent="0.2">
      <c r="A9" s="119"/>
      <c r="B9" s="120"/>
      <c r="C9" s="120"/>
      <c r="D9" s="120"/>
      <c r="E9" s="120"/>
      <c r="F9" s="120"/>
      <c r="G9" s="120"/>
      <c r="H9" s="120"/>
      <c r="I9" s="128"/>
      <c r="J9" s="15"/>
    </row>
    <row r="10" spans="1:10" x14ac:dyDescent="0.2">
      <c r="A10" s="383" t="s">
        <v>7</v>
      </c>
      <c r="B10" s="384"/>
      <c r="C10" s="384"/>
      <c r="D10" s="384"/>
      <c r="E10" s="384"/>
      <c r="F10" s="384"/>
      <c r="G10" s="384"/>
      <c r="H10" s="384"/>
      <c r="I10" s="385"/>
      <c r="J10" s="19"/>
    </row>
    <row r="11" spans="1:10" x14ac:dyDescent="0.2">
      <c r="A11" s="129"/>
      <c r="B11" s="19"/>
      <c r="C11" s="19"/>
      <c r="D11" s="19"/>
      <c r="E11" s="19"/>
      <c r="F11" s="19"/>
      <c r="G11" s="19"/>
      <c r="H11" s="19"/>
      <c r="I11" s="130"/>
      <c r="J11" s="19"/>
    </row>
    <row r="12" spans="1:10" x14ac:dyDescent="0.2">
      <c r="A12" s="119" t="s">
        <v>8</v>
      </c>
      <c r="B12" s="120"/>
      <c r="C12" s="120"/>
      <c r="D12" s="120"/>
      <c r="E12" s="19" t="s">
        <v>9</v>
      </c>
      <c r="F12" s="131">
        <v>5.08</v>
      </c>
      <c r="G12" s="132" t="s">
        <v>10</v>
      </c>
      <c r="H12" s="132"/>
      <c r="I12" s="130" t="s">
        <v>11</v>
      </c>
      <c r="J12" s="19"/>
    </row>
    <row r="13" spans="1:10" x14ac:dyDescent="0.2">
      <c r="A13" s="119" t="s">
        <v>12</v>
      </c>
      <c r="B13" s="120"/>
      <c r="C13" s="120"/>
      <c r="D13" s="19" t="s">
        <v>13</v>
      </c>
      <c r="E13" s="19" t="s">
        <v>14</v>
      </c>
      <c r="F13" s="132">
        <v>193.97</v>
      </c>
      <c r="G13" s="132" t="s">
        <v>15</v>
      </c>
      <c r="H13" s="132"/>
      <c r="I13" s="133">
        <v>0.30280000000000001</v>
      </c>
      <c r="J13" s="23"/>
    </row>
    <row r="14" spans="1:10" x14ac:dyDescent="0.2">
      <c r="A14" s="119" t="s">
        <v>16</v>
      </c>
      <c r="B14" s="120"/>
      <c r="C14" s="120"/>
      <c r="D14" s="120"/>
      <c r="E14" s="386" t="s">
        <v>17</v>
      </c>
      <c r="F14" s="132" t="s">
        <v>18</v>
      </c>
      <c r="G14" s="386" t="s">
        <v>19</v>
      </c>
      <c r="H14" s="134"/>
      <c r="I14" s="135" t="s">
        <v>20</v>
      </c>
      <c r="J14" s="26"/>
    </row>
    <row r="15" spans="1:10" x14ac:dyDescent="0.2">
      <c r="A15" s="136"/>
      <c r="B15" s="137"/>
      <c r="C15" s="137"/>
      <c r="D15" s="137"/>
      <c r="E15" s="387"/>
      <c r="F15" s="138" t="s">
        <v>21</v>
      </c>
      <c r="G15" s="387"/>
      <c r="H15" s="134"/>
      <c r="I15" s="139" t="s">
        <v>21</v>
      </c>
      <c r="J15" s="31"/>
    </row>
    <row r="16" spans="1:10" x14ac:dyDescent="0.2">
      <c r="A16" s="388" t="s">
        <v>22</v>
      </c>
      <c r="B16" s="389" t="s">
        <v>23</v>
      </c>
      <c r="C16" s="389" t="s">
        <v>24</v>
      </c>
      <c r="D16" s="364" t="s">
        <v>25</v>
      </c>
      <c r="E16" s="364" t="s">
        <v>26</v>
      </c>
      <c r="F16" s="364" t="s">
        <v>27</v>
      </c>
      <c r="G16" s="364" t="s">
        <v>28</v>
      </c>
      <c r="H16" s="365"/>
      <c r="I16" s="366"/>
      <c r="J16" s="3"/>
    </row>
    <row r="17" spans="1:11" ht="22.5" x14ac:dyDescent="0.2">
      <c r="A17" s="388"/>
      <c r="B17" s="390"/>
      <c r="C17" s="390"/>
      <c r="D17" s="364"/>
      <c r="E17" s="364"/>
      <c r="F17" s="364"/>
      <c r="G17" s="140" t="s">
        <v>29</v>
      </c>
      <c r="H17" s="140" t="s">
        <v>30</v>
      </c>
      <c r="I17" s="141" t="s">
        <v>31</v>
      </c>
      <c r="J17" s="3"/>
    </row>
    <row r="18" spans="1:11" ht="15" customHeight="1" x14ac:dyDescent="0.25">
      <c r="A18" s="142">
        <v>1</v>
      </c>
      <c r="B18" s="143"/>
      <c r="C18" s="144"/>
      <c r="D18" s="145" t="s">
        <v>32</v>
      </c>
      <c r="E18" s="146"/>
      <c r="F18" s="147"/>
      <c r="G18" s="147"/>
      <c r="H18" s="147"/>
      <c r="I18" s="148"/>
      <c r="J18" s="41"/>
    </row>
    <row r="19" spans="1:11" ht="79.150000000000006" customHeight="1" x14ac:dyDescent="0.2">
      <c r="A19" s="142" t="s">
        <v>33</v>
      </c>
      <c r="B19" s="149" t="s">
        <v>34</v>
      </c>
      <c r="C19" s="146" t="s">
        <v>35</v>
      </c>
      <c r="D19" s="150" t="s">
        <v>36</v>
      </c>
      <c r="E19" s="146" t="s">
        <v>37</v>
      </c>
      <c r="F19" s="147">
        <v>1</v>
      </c>
      <c r="G19" s="147">
        <f>ROUND(H19+(H19*$I$13),2)</f>
        <v>1770.69</v>
      </c>
      <c r="H19" s="151">
        <v>1359.14</v>
      </c>
      <c r="I19" s="148">
        <f>ROUND(F19*G19,2)</f>
        <v>1770.69</v>
      </c>
      <c r="J19" s="41">
        <f>ROUND(F19*H19,2)</f>
        <v>1359.14</v>
      </c>
    </row>
    <row r="20" spans="1:11" ht="15" customHeight="1" x14ac:dyDescent="0.2">
      <c r="A20" s="152"/>
      <c r="B20" s="153"/>
      <c r="C20" s="146"/>
      <c r="D20" s="154" t="s">
        <v>38</v>
      </c>
      <c r="E20" s="146"/>
      <c r="F20" s="147"/>
      <c r="G20" s="147"/>
      <c r="H20" s="151"/>
      <c r="I20" s="155">
        <f>I19</f>
        <v>1770.69</v>
      </c>
      <c r="J20" s="41">
        <f t="shared" ref="J20:J61" si="0">ROUND(F20*H20,2)</f>
        <v>0</v>
      </c>
    </row>
    <row r="21" spans="1:11" x14ac:dyDescent="0.2">
      <c r="A21" s="156"/>
      <c r="B21" s="157"/>
      <c r="C21" s="310"/>
      <c r="D21" s="158"/>
      <c r="E21" s="159"/>
      <c r="F21" s="160"/>
      <c r="G21" s="160"/>
      <c r="H21" s="151"/>
      <c r="I21" s="161"/>
      <c r="J21" s="41">
        <f t="shared" si="0"/>
        <v>0</v>
      </c>
    </row>
    <row r="22" spans="1:11" ht="15" customHeight="1" x14ac:dyDescent="0.2">
      <c r="A22" s="142">
        <v>2</v>
      </c>
      <c r="B22" s="149"/>
      <c r="C22" s="311"/>
      <c r="D22" s="145" t="s">
        <v>39</v>
      </c>
      <c r="E22" s="146"/>
      <c r="F22" s="147"/>
      <c r="G22" s="162"/>
      <c r="H22" s="151"/>
      <c r="I22" s="148"/>
      <c r="J22" s="41">
        <f t="shared" si="0"/>
        <v>0</v>
      </c>
    </row>
    <row r="23" spans="1:11" ht="76.900000000000006" customHeight="1" x14ac:dyDescent="0.2">
      <c r="A23" s="142" t="s">
        <v>40</v>
      </c>
      <c r="B23" s="149" t="s">
        <v>34</v>
      </c>
      <c r="C23" s="146" t="s">
        <v>147</v>
      </c>
      <c r="D23" s="150" t="s">
        <v>148</v>
      </c>
      <c r="E23" s="146" t="s">
        <v>43</v>
      </c>
      <c r="F23" s="147">
        <v>29467.85</v>
      </c>
      <c r="G23" s="147">
        <f>ROUND(H23+(H23*$I$13),2)</f>
        <v>0.68</v>
      </c>
      <c r="H23" s="151">
        <v>0.52</v>
      </c>
      <c r="I23" s="148">
        <f>ROUND(F23*G23,2)</f>
        <v>20038.14</v>
      </c>
      <c r="J23" s="41">
        <f t="shared" si="0"/>
        <v>15323.28</v>
      </c>
    </row>
    <row r="24" spans="1:11" ht="39" customHeight="1" x14ac:dyDescent="0.2">
      <c r="A24" s="142" t="s">
        <v>44</v>
      </c>
      <c r="B24" s="149" t="s">
        <v>34</v>
      </c>
      <c r="C24" s="146" t="s">
        <v>45</v>
      </c>
      <c r="D24" s="163" t="s">
        <v>46</v>
      </c>
      <c r="E24" s="146" t="s">
        <v>47</v>
      </c>
      <c r="F24" s="147">
        <v>6069.69</v>
      </c>
      <c r="G24" s="147">
        <f>ROUND(H24+(H24*$I$13),2)</f>
        <v>9.2899999999999991</v>
      </c>
      <c r="H24" s="151">
        <v>7.13</v>
      </c>
      <c r="I24" s="148">
        <f t="shared" ref="I24:I25" si="1">ROUND(F24*G24,2)</f>
        <v>56387.42</v>
      </c>
      <c r="J24" s="41">
        <f t="shared" si="0"/>
        <v>43276.89</v>
      </c>
    </row>
    <row r="25" spans="1:11" ht="58.9" customHeight="1" x14ac:dyDescent="0.2">
      <c r="A25" s="142" t="s">
        <v>48</v>
      </c>
      <c r="B25" s="149" t="s">
        <v>34</v>
      </c>
      <c r="C25" s="146" t="s">
        <v>49</v>
      </c>
      <c r="D25" s="163" t="s">
        <v>50</v>
      </c>
      <c r="E25" s="146" t="s">
        <v>51</v>
      </c>
      <c r="F25" s="147">
        <f>F24*1.19</f>
        <v>7222.9310999999989</v>
      </c>
      <c r="G25" s="147">
        <f>ROUND(H25+(H25*$I$13),2)</f>
        <v>7.84</v>
      </c>
      <c r="H25" s="151">
        <v>6.02</v>
      </c>
      <c r="I25" s="148">
        <f t="shared" si="1"/>
        <v>56627.78</v>
      </c>
      <c r="J25" s="41">
        <f t="shared" si="0"/>
        <v>43482.05</v>
      </c>
    </row>
    <row r="26" spans="1:11" ht="15" customHeight="1" x14ac:dyDescent="0.2">
      <c r="A26" s="152"/>
      <c r="B26" s="153"/>
      <c r="C26" s="146"/>
      <c r="D26" s="154" t="s">
        <v>52</v>
      </c>
      <c r="E26" s="146"/>
      <c r="F26" s="147"/>
      <c r="G26" s="147"/>
      <c r="H26" s="147"/>
      <c r="I26" s="155">
        <f>SUM(I23:I25)</f>
        <v>133053.34</v>
      </c>
      <c r="J26" s="41">
        <f t="shared" si="0"/>
        <v>0</v>
      </c>
    </row>
    <row r="27" spans="1:11" x14ac:dyDescent="0.2">
      <c r="A27" s="164"/>
      <c r="B27" s="165"/>
      <c r="C27" s="166"/>
      <c r="D27" s="167"/>
      <c r="E27" s="166"/>
      <c r="F27" s="147"/>
      <c r="G27" s="147"/>
      <c r="H27" s="147"/>
      <c r="I27" s="148"/>
      <c r="J27" s="41">
        <f t="shared" si="0"/>
        <v>0</v>
      </c>
    </row>
    <row r="28" spans="1:11" ht="15" customHeight="1" x14ac:dyDescent="0.2">
      <c r="A28" s="142">
        <v>3</v>
      </c>
      <c r="B28" s="149"/>
      <c r="C28" s="311"/>
      <c r="D28" s="145" t="s">
        <v>53</v>
      </c>
      <c r="E28" s="146"/>
      <c r="F28" s="147"/>
      <c r="G28" s="147"/>
      <c r="H28" s="147"/>
      <c r="I28" s="148"/>
      <c r="J28" s="41">
        <f t="shared" si="0"/>
        <v>0</v>
      </c>
    </row>
    <row r="29" spans="1:11" ht="66.599999999999994" customHeight="1" x14ac:dyDescent="0.25">
      <c r="A29" s="142" t="s">
        <v>54</v>
      </c>
      <c r="B29" s="149" t="s">
        <v>34</v>
      </c>
      <c r="C29" s="146" t="s">
        <v>149</v>
      </c>
      <c r="D29" s="163" t="s">
        <v>150</v>
      </c>
      <c r="E29" s="146" t="s">
        <v>47</v>
      </c>
      <c r="F29" s="147">
        <v>9267.06</v>
      </c>
      <c r="G29" s="147">
        <f>ROUND(H29+(H29*$I$13),2)</f>
        <v>9.39</v>
      </c>
      <c r="H29" s="151">
        <v>7.21</v>
      </c>
      <c r="I29" s="148">
        <f t="shared" ref="I29:I31" si="2">ROUND(F29*G29,2)</f>
        <v>87017.69</v>
      </c>
      <c r="J29" s="41">
        <f t="shared" si="0"/>
        <v>66815.5</v>
      </c>
      <c r="K29" t="s">
        <v>151</v>
      </c>
    </row>
    <row r="30" spans="1:11" ht="69" customHeight="1" x14ac:dyDescent="0.2">
      <c r="A30" s="142" t="s">
        <v>57</v>
      </c>
      <c r="B30" s="149" t="s">
        <v>34</v>
      </c>
      <c r="C30" s="146" t="s">
        <v>149</v>
      </c>
      <c r="D30" s="163" t="s">
        <v>152</v>
      </c>
      <c r="E30" s="146" t="s">
        <v>47</v>
      </c>
      <c r="F30" s="147">
        <v>68279.92</v>
      </c>
      <c r="G30" s="147">
        <f>ROUND(H30+(H30*$I$13),2)</f>
        <v>9.39</v>
      </c>
      <c r="H30" s="151">
        <v>7.21</v>
      </c>
      <c r="I30" s="148">
        <f t="shared" si="2"/>
        <v>641148.44999999995</v>
      </c>
      <c r="J30" s="41">
        <f t="shared" si="0"/>
        <v>492298.22</v>
      </c>
    </row>
    <row r="31" spans="1:11" ht="30" customHeight="1" x14ac:dyDescent="0.2">
      <c r="A31" s="142" t="s">
        <v>59</v>
      </c>
      <c r="B31" s="149" t="s">
        <v>34</v>
      </c>
      <c r="C31" s="146" t="s">
        <v>60</v>
      </c>
      <c r="D31" s="168" t="s">
        <v>61</v>
      </c>
      <c r="E31" s="146" t="s">
        <v>51</v>
      </c>
      <c r="F31" s="147">
        <v>73669.63</v>
      </c>
      <c r="G31" s="147">
        <f>ROUND(H31+(H31*$I$13),2)</f>
        <v>5.75</v>
      </c>
      <c r="H31" s="151">
        <v>4.41</v>
      </c>
      <c r="I31" s="148">
        <f t="shared" si="2"/>
        <v>423600.37</v>
      </c>
      <c r="J31" s="41">
        <f t="shared" si="0"/>
        <v>324883.07</v>
      </c>
    </row>
    <row r="32" spans="1:11" ht="15" customHeight="1" x14ac:dyDescent="0.2">
      <c r="A32" s="169"/>
      <c r="B32" s="170"/>
      <c r="C32" s="168"/>
      <c r="D32" s="154" t="s">
        <v>62</v>
      </c>
      <c r="E32" s="146"/>
      <c r="F32" s="147"/>
      <c r="G32" s="147"/>
      <c r="H32" s="147"/>
      <c r="I32" s="155">
        <f>SUM(I29:I31)</f>
        <v>1151766.5099999998</v>
      </c>
      <c r="J32" s="41">
        <f t="shared" si="0"/>
        <v>0</v>
      </c>
    </row>
    <row r="33" spans="1:15" x14ac:dyDescent="0.2">
      <c r="A33" s="169"/>
      <c r="B33" s="170"/>
      <c r="C33" s="168"/>
      <c r="D33" s="163"/>
      <c r="E33" s="146"/>
      <c r="F33" s="147"/>
      <c r="G33" s="147"/>
      <c r="H33" s="147"/>
      <c r="I33" s="148"/>
      <c r="J33" s="41">
        <f t="shared" si="0"/>
        <v>0</v>
      </c>
    </row>
    <row r="34" spans="1:15" ht="15" customHeight="1" x14ac:dyDescent="0.2">
      <c r="A34" s="142"/>
      <c r="B34" s="149"/>
      <c r="C34" s="311"/>
      <c r="D34" s="171" t="s">
        <v>63</v>
      </c>
      <c r="E34" s="146"/>
      <c r="F34" s="147"/>
      <c r="G34" s="147"/>
      <c r="H34" s="147"/>
      <c r="I34" s="148"/>
      <c r="J34" s="41">
        <f t="shared" si="0"/>
        <v>0</v>
      </c>
    </row>
    <row r="35" spans="1:15" ht="88.15" customHeight="1" x14ac:dyDescent="0.2">
      <c r="A35" s="142" t="s">
        <v>64</v>
      </c>
      <c r="B35" s="149" t="s">
        <v>34</v>
      </c>
      <c r="C35" s="146" t="s">
        <v>65</v>
      </c>
      <c r="D35" s="168" t="s">
        <v>66</v>
      </c>
      <c r="E35" s="146" t="s">
        <v>51</v>
      </c>
      <c r="F35" s="147">
        <v>531.6</v>
      </c>
      <c r="G35" s="147">
        <f t="shared" ref="G35:G40" si="3">ROUND(H35+(H35*$I$13),2)</f>
        <v>11.22</v>
      </c>
      <c r="H35" s="151">
        <v>8.61</v>
      </c>
      <c r="I35" s="172">
        <f t="shared" ref="I35:I40" si="4">ROUND(F35*G35,2)</f>
        <v>5964.55</v>
      </c>
      <c r="J35" s="41">
        <f t="shared" si="0"/>
        <v>4577.08</v>
      </c>
      <c r="K35" s="2">
        <f>60*8.86</f>
        <v>531.59999999999991</v>
      </c>
      <c r="L35" s="2">
        <f>(6.36+2)/2*2.12</f>
        <v>8.8615999999999993</v>
      </c>
    </row>
    <row r="36" spans="1:15" ht="58.15" customHeight="1" x14ac:dyDescent="0.2">
      <c r="A36" s="142" t="s">
        <v>67</v>
      </c>
      <c r="B36" s="149" t="s">
        <v>34</v>
      </c>
      <c r="C36" s="146" t="s">
        <v>49</v>
      </c>
      <c r="D36" s="168" t="s">
        <v>68</v>
      </c>
      <c r="E36" s="146" t="s">
        <v>51</v>
      </c>
      <c r="F36" s="147">
        <f>F35*1.3</f>
        <v>691.08</v>
      </c>
      <c r="G36" s="147">
        <f t="shared" si="3"/>
        <v>7.84</v>
      </c>
      <c r="H36" s="151">
        <v>6.02</v>
      </c>
      <c r="I36" s="172">
        <f t="shared" si="4"/>
        <v>5418.07</v>
      </c>
      <c r="J36" s="41">
        <f t="shared" si="0"/>
        <v>4160.3</v>
      </c>
    </row>
    <row r="37" spans="1:15" ht="79.900000000000006" customHeight="1" x14ac:dyDescent="0.2">
      <c r="A37" s="142" t="s">
        <v>69</v>
      </c>
      <c r="B37" s="149" t="s">
        <v>34</v>
      </c>
      <c r="C37" s="146" t="s">
        <v>70</v>
      </c>
      <c r="D37" s="163" t="s">
        <v>71</v>
      </c>
      <c r="E37" s="146" t="s">
        <v>51</v>
      </c>
      <c r="F37" s="147">
        <v>153.6</v>
      </c>
      <c r="G37" s="147">
        <f t="shared" si="3"/>
        <v>11.4</v>
      </c>
      <c r="H37" s="151">
        <v>8.75</v>
      </c>
      <c r="I37" s="172">
        <f t="shared" si="4"/>
        <v>1751.04</v>
      </c>
      <c r="J37" s="41">
        <f t="shared" si="0"/>
        <v>1344</v>
      </c>
      <c r="K37" s="336"/>
      <c r="L37" s="337"/>
      <c r="M37" s="337"/>
      <c r="N37" s="2">
        <f>120*1.28</f>
        <v>153.6</v>
      </c>
      <c r="O37" s="2">
        <f>(2.4+0.8)/2*0.8</f>
        <v>1.2800000000000002</v>
      </c>
    </row>
    <row r="38" spans="1:15" ht="56.25" customHeight="1" x14ac:dyDescent="0.2">
      <c r="A38" s="142" t="s">
        <v>72</v>
      </c>
      <c r="B38" s="149" t="s">
        <v>34</v>
      </c>
      <c r="C38" s="146" t="s">
        <v>70</v>
      </c>
      <c r="D38" s="163" t="s">
        <v>73</v>
      </c>
      <c r="E38" s="146" t="s">
        <v>51</v>
      </c>
      <c r="F38" s="147">
        <f>0.4*0.4*120*2</f>
        <v>38.400000000000006</v>
      </c>
      <c r="G38" s="147">
        <f t="shared" si="3"/>
        <v>11.4</v>
      </c>
      <c r="H38" s="151">
        <v>8.75</v>
      </c>
      <c r="I38" s="172">
        <f t="shared" si="4"/>
        <v>437.76</v>
      </c>
      <c r="J38" s="41">
        <f t="shared" si="0"/>
        <v>336</v>
      </c>
      <c r="K38" s="338" t="s">
        <v>74</v>
      </c>
      <c r="L38" s="337"/>
      <c r="M38" s="337"/>
      <c r="N38" s="2">
        <f>120*2*0.4*0.4</f>
        <v>38.400000000000006</v>
      </c>
      <c r="O38" s="58"/>
    </row>
    <row r="39" spans="1:15" ht="56.25" customHeight="1" x14ac:dyDescent="0.2">
      <c r="A39" s="142" t="s">
        <v>75</v>
      </c>
      <c r="B39" s="149" t="s">
        <v>34</v>
      </c>
      <c r="C39" s="146" t="s">
        <v>76</v>
      </c>
      <c r="D39" s="163" t="s">
        <v>77</v>
      </c>
      <c r="E39" s="146" t="s">
        <v>51</v>
      </c>
      <c r="F39" s="147">
        <f>F38</f>
        <v>38.400000000000006</v>
      </c>
      <c r="G39" s="147">
        <f t="shared" si="3"/>
        <v>53.27</v>
      </c>
      <c r="H39" s="151">
        <v>40.89</v>
      </c>
      <c r="I39" s="172">
        <f t="shared" si="4"/>
        <v>2045.57</v>
      </c>
      <c r="J39" s="41">
        <f t="shared" si="0"/>
        <v>1570.18</v>
      </c>
      <c r="K39" s="67"/>
      <c r="L39" s="67"/>
      <c r="M39" s="67"/>
      <c r="O39" s="58"/>
    </row>
    <row r="40" spans="1:15" ht="33.75" x14ac:dyDescent="0.2">
      <c r="A40" s="142" t="s">
        <v>78</v>
      </c>
      <c r="B40" s="149" t="s">
        <v>79</v>
      </c>
      <c r="C40" s="146" t="s">
        <v>80</v>
      </c>
      <c r="D40" s="163" t="s">
        <v>81</v>
      </c>
      <c r="E40" s="146" t="s">
        <v>43</v>
      </c>
      <c r="F40" s="147">
        <v>744</v>
      </c>
      <c r="G40" s="147">
        <f t="shared" si="3"/>
        <v>36.5</v>
      </c>
      <c r="H40" s="151">
        <v>28.02</v>
      </c>
      <c r="I40" s="172">
        <f t="shared" si="4"/>
        <v>27156</v>
      </c>
      <c r="J40" s="41">
        <f t="shared" si="0"/>
        <v>20846.88</v>
      </c>
      <c r="K40" s="336" t="s">
        <v>82</v>
      </c>
      <c r="L40" s="337"/>
      <c r="M40" s="337"/>
    </row>
    <row r="41" spans="1:15" ht="30" customHeight="1" x14ac:dyDescent="0.2">
      <c r="A41" s="173"/>
      <c r="B41" s="174"/>
      <c r="C41" s="312"/>
      <c r="D41" s="175" t="s">
        <v>83</v>
      </c>
      <c r="E41" s="176"/>
      <c r="F41" s="177"/>
      <c r="G41" s="177"/>
      <c r="H41" s="178"/>
      <c r="I41" s="179">
        <f>SUM(I35:I40)</f>
        <v>42772.99</v>
      </c>
      <c r="J41" s="41">
        <f t="shared" si="0"/>
        <v>0</v>
      </c>
    </row>
    <row r="42" spans="1:15" ht="30" customHeight="1" x14ac:dyDescent="0.2">
      <c r="A42" s="142">
        <v>5</v>
      </c>
      <c r="B42" s="149"/>
      <c r="C42" s="311"/>
      <c r="D42" s="145" t="s">
        <v>84</v>
      </c>
      <c r="E42" s="146"/>
      <c r="F42" s="147"/>
      <c r="G42" s="147"/>
      <c r="H42" s="151"/>
      <c r="I42" s="148"/>
      <c r="J42" s="41">
        <f t="shared" si="0"/>
        <v>0</v>
      </c>
    </row>
    <row r="43" spans="1:15" ht="30" customHeight="1" x14ac:dyDescent="0.2">
      <c r="A43" s="142" t="s">
        <v>85</v>
      </c>
      <c r="B43" s="149" t="s">
        <v>79</v>
      </c>
      <c r="C43" s="146" t="s">
        <v>86</v>
      </c>
      <c r="D43" s="163" t="s">
        <v>87</v>
      </c>
      <c r="E43" s="146" t="s">
        <v>88</v>
      </c>
      <c r="F43" s="147">
        <v>12</v>
      </c>
      <c r="G43" s="147">
        <f>ROUND(H43+(H43*$I$13),2)</f>
        <v>27.88</v>
      </c>
      <c r="H43" s="151">
        <v>21.4</v>
      </c>
      <c r="I43" s="148">
        <f t="shared" ref="I43:I57" si="5">ROUND(F43*G43,2)</f>
        <v>334.56</v>
      </c>
      <c r="J43" s="41">
        <f t="shared" si="0"/>
        <v>256.8</v>
      </c>
    </row>
    <row r="44" spans="1:15" ht="63.6" customHeight="1" x14ac:dyDescent="0.2">
      <c r="A44" s="142" t="s">
        <v>89</v>
      </c>
      <c r="B44" s="149" t="s">
        <v>79</v>
      </c>
      <c r="C44" s="180" t="s">
        <v>90</v>
      </c>
      <c r="D44" s="181" t="s">
        <v>91</v>
      </c>
      <c r="E44" s="180" t="s">
        <v>88</v>
      </c>
      <c r="F44" s="182">
        <v>7</v>
      </c>
      <c r="G44" s="147">
        <f t="shared" ref="G44:G57" si="6">ROUND(H44+(H44*$I$13),2)</f>
        <v>135.69999999999999</v>
      </c>
      <c r="H44" s="151">
        <v>104.16</v>
      </c>
      <c r="I44" s="148">
        <f t="shared" si="5"/>
        <v>949.9</v>
      </c>
      <c r="J44" s="41">
        <f t="shared" si="0"/>
        <v>729.12</v>
      </c>
    </row>
    <row r="45" spans="1:15" ht="50.45" customHeight="1" x14ac:dyDescent="0.2">
      <c r="A45" s="142" t="s">
        <v>92</v>
      </c>
      <c r="B45" s="149" t="s">
        <v>79</v>
      </c>
      <c r="C45" s="180" t="s">
        <v>93</v>
      </c>
      <c r="D45" s="181" t="s">
        <v>94</v>
      </c>
      <c r="E45" s="180" t="s">
        <v>88</v>
      </c>
      <c r="F45" s="182">
        <v>1</v>
      </c>
      <c r="G45" s="147">
        <f t="shared" si="6"/>
        <v>448.29</v>
      </c>
      <c r="H45" s="151">
        <v>344.1</v>
      </c>
      <c r="I45" s="148">
        <f t="shared" si="5"/>
        <v>448.29</v>
      </c>
      <c r="J45" s="41">
        <f t="shared" si="0"/>
        <v>344.1</v>
      </c>
    </row>
    <row r="46" spans="1:15" ht="45" customHeight="1" x14ac:dyDescent="0.2">
      <c r="A46" s="142" t="s">
        <v>95</v>
      </c>
      <c r="B46" s="149" t="s">
        <v>79</v>
      </c>
      <c r="C46" s="180" t="s">
        <v>96</v>
      </c>
      <c r="D46" s="181" t="s">
        <v>97</v>
      </c>
      <c r="E46" s="180" t="s">
        <v>98</v>
      </c>
      <c r="F46" s="182">
        <v>85</v>
      </c>
      <c r="G46" s="147">
        <f t="shared" si="6"/>
        <v>212.55</v>
      </c>
      <c r="H46" s="151">
        <v>163.15</v>
      </c>
      <c r="I46" s="148">
        <f t="shared" si="5"/>
        <v>18066.75</v>
      </c>
      <c r="J46" s="41">
        <f t="shared" si="0"/>
        <v>13867.75</v>
      </c>
    </row>
    <row r="47" spans="1:15" ht="55.9" customHeight="1" x14ac:dyDescent="0.2">
      <c r="A47" s="142" t="s">
        <v>99</v>
      </c>
      <c r="B47" s="149" t="s">
        <v>100</v>
      </c>
      <c r="C47" s="180">
        <v>3916</v>
      </c>
      <c r="D47" s="181" t="s">
        <v>101</v>
      </c>
      <c r="E47" s="180" t="s">
        <v>88</v>
      </c>
      <c r="F47" s="182">
        <v>1</v>
      </c>
      <c r="G47" s="147">
        <f t="shared" si="6"/>
        <v>361.58</v>
      </c>
      <c r="H47" s="151">
        <v>277.54000000000002</v>
      </c>
      <c r="I47" s="148">
        <f t="shared" si="5"/>
        <v>361.58</v>
      </c>
      <c r="J47" s="41">
        <f t="shared" si="0"/>
        <v>277.54000000000002</v>
      </c>
    </row>
    <row r="48" spans="1:15" ht="50.45" customHeight="1" x14ac:dyDescent="0.2">
      <c r="A48" s="142" t="s">
        <v>102</v>
      </c>
      <c r="B48" s="149" t="s">
        <v>100</v>
      </c>
      <c r="C48" s="180">
        <v>6321</v>
      </c>
      <c r="D48" s="181" t="s">
        <v>103</v>
      </c>
      <c r="E48" s="180" t="s">
        <v>88</v>
      </c>
      <c r="F48" s="182">
        <v>1</v>
      </c>
      <c r="G48" s="147">
        <f t="shared" si="6"/>
        <v>578.5</v>
      </c>
      <c r="H48" s="151">
        <v>444.04</v>
      </c>
      <c r="I48" s="148">
        <f t="shared" si="5"/>
        <v>578.5</v>
      </c>
      <c r="J48" s="41">
        <f t="shared" si="0"/>
        <v>444.04</v>
      </c>
    </row>
    <row r="49" spans="1:10" ht="52.9" customHeight="1" x14ac:dyDescent="0.2">
      <c r="A49" s="142" t="s">
        <v>104</v>
      </c>
      <c r="B49" s="149" t="s">
        <v>100</v>
      </c>
      <c r="C49" s="180">
        <v>6027</v>
      </c>
      <c r="D49" s="181" t="s">
        <v>105</v>
      </c>
      <c r="E49" s="180" t="s">
        <v>88</v>
      </c>
      <c r="F49" s="182">
        <v>1</v>
      </c>
      <c r="G49" s="147">
        <f t="shared" si="6"/>
        <v>1229.1500000000001</v>
      </c>
      <c r="H49" s="151">
        <v>943.47</v>
      </c>
      <c r="I49" s="148">
        <f t="shared" si="5"/>
        <v>1229.1500000000001</v>
      </c>
      <c r="J49" s="41">
        <f t="shared" si="0"/>
        <v>943.47</v>
      </c>
    </row>
    <row r="50" spans="1:10" ht="42.6" customHeight="1" x14ac:dyDescent="0.2">
      <c r="A50" s="142" t="s">
        <v>106</v>
      </c>
      <c r="B50" s="149" t="s">
        <v>100</v>
      </c>
      <c r="C50" s="180">
        <v>4183</v>
      </c>
      <c r="D50" s="181" t="s">
        <v>107</v>
      </c>
      <c r="E50" s="180" t="s">
        <v>88</v>
      </c>
      <c r="F50" s="182">
        <v>2</v>
      </c>
      <c r="G50" s="147">
        <f t="shared" si="6"/>
        <v>183.46</v>
      </c>
      <c r="H50" s="151">
        <v>140.82</v>
      </c>
      <c r="I50" s="148">
        <f t="shared" si="5"/>
        <v>366.92</v>
      </c>
      <c r="J50" s="41">
        <f t="shared" si="0"/>
        <v>281.64</v>
      </c>
    </row>
    <row r="51" spans="1:10" ht="40.9" customHeight="1" x14ac:dyDescent="0.2">
      <c r="A51" s="142" t="s">
        <v>108</v>
      </c>
      <c r="B51" s="149" t="s">
        <v>100</v>
      </c>
      <c r="C51" s="180">
        <v>3934</v>
      </c>
      <c r="D51" s="181" t="s">
        <v>109</v>
      </c>
      <c r="E51" s="180" t="s">
        <v>88</v>
      </c>
      <c r="F51" s="182">
        <v>2</v>
      </c>
      <c r="G51" s="147">
        <f t="shared" si="6"/>
        <v>234.36</v>
      </c>
      <c r="H51" s="151">
        <v>179.89</v>
      </c>
      <c r="I51" s="148">
        <f t="shared" si="5"/>
        <v>468.72</v>
      </c>
      <c r="J51" s="41">
        <f t="shared" si="0"/>
        <v>359.78</v>
      </c>
    </row>
    <row r="52" spans="1:10" ht="30" customHeight="1" x14ac:dyDescent="0.2">
      <c r="A52" s="142" t="s">
        <v>110</v>
      </c>
      <c r="B52" s="149" t="s">
        <v>100</v>
      </c>
      <c r="C52" s="180">
        <v>783</v>
      </c>
      <c r="D52" s="181" t="s">
        <v>111</v>
      </c>
      <c r="E52" s="180" t="s">
        <v>88</v>
      </c>
      <c r="F52" s="182">
        <v>1</v>
      </c>
      <c r="G52" s="147">
        <f t="shared" si="6"/>
        <v>433.82</v>
      </c>
      <c r="H52" s="151">
        <v>332.99</v>
      </c>
      <c r="I52" s="148">
        <f t="shared" si="5"/>
        <v>433.82</v>
      </c>
      <c r="J52" s="41">
        <f t="shared" si="0"/>
        <v>332.99</v>
      </c>
    </row>
    <row r="53" spans="1:10" ht="30" customHeight="1" x14ac:dyDescent="0.2">
      <c r="A53" s="142" t="s">
        <v>112</v>
      </c>
      <c r="B53" s="149" t="s">
        <v>100</v>
      </c>
      <c r="C53" s="180">
        <v>782</v>
      </c>
      <c r="D53" s="181" t="s">
        <v>113</v>
      </c>
      <c r="E53" s="180" t="s">
        <v>114</v>
      </c>
      <c r="F53" s="182">
        <v>1</v>
      </c>
      <c r="G53" s="147">
        <f t="shared" si="6"/>
        <v>158.5</v>
      </c>
      <c r="H53" s="151">
        <v>121.66</v>
      </c>
      <c r="I53" s="148">
        <f t="shared" si="5"/>
        <v>158.5</v>
      </c>
      <c r="J53" s="41">
        <f t="shared" si="0"/>
        <v>121.66</v>
      </c>
    </row>
    <row r="54" spans="1:10" ht="49.9" customHeight="1" x14ac:dyDescent="0.2">
      <c r="A54" s="142" t="s">
        <v>115</v>
      </c>
      <c r="B54" s="183" t="s">
        <v>79</v>
      </c>
      <c r="C54" s="180" t="s">
        <v>116</v>
      </c>
      <c r="D54" s="181" t="s">
        <v>117</v>
      </c>
      <c r="E54" s="180" t="s">
        <v>26</v>
      </c>
      <c r="F54" s="182">
        <v>14</v>
      </c>
      <c r="G54" s="147">
        <f t="shared" si="6"/>
        <v>17.309999999999999</v>
      </c>
      <c r="H54" s="184">
        <v>13.29</v>
      </c>
      <c r="I54" s="148">
        <f t="shared" si="5"/>
        <v>242.34</v>
      </c>
      <c r="J54" s="41">
        <f t="shared" si="0"/>
        <v>186.06</v>
      </c>
    </row>
    <row r="55" spans="1:10" ht="49.9" customHeight="1" x14ac:dyDescent="0.2">
      <c r="A55" s="142" t="s">
        <v>118</v>
      </c>
      <c r="B55" s="183" t="s">
        <v>100</v>
      </c>
      <c r="C55" s="180">
        <v>4892</v>
      </c>
      <c r="D55" s="181" t="s">
        <v>119</v>
      </c>
      <c r="E55" s="180" t="s">
        <v>26</v>
      </c>
      <c r="F55" s="182">
        <v>1</v>
      </c>
      <c r="G55" s="147">
        <f t="shared" si="6"/>
        <v>76.010000000000005</v>
      </c>
      <c r="H55" s="185">
        <v>58.34</v>
      </c>
      <c r="I55" s="186">
        <f t="shared" si="5"/>
        <v>76.010000000000005</v>
      </c>
      <c r="J55" s="41">
        <f t="shared" si="0"/>
        <v>58.34</v>
      </c>
    </row>
    <row r="56" spans="1:10" ht="49.9" customHeight="1" x14ac:dyDescent="0.2">
      <c r="A56" s="142" t="s">
        <v>120</v>
      </c>
      <c r="B56" s="183" t="s">
        <v>79</v>
      </c>
      <c r="C56" s="180" t="s">
        <v>121</v>
      </c>
      <c r="D56" s="181" t="s">
        <v>122</v>
      </c>
      <c r="E56" s="180" t="s">
        <v>26</v>
      </c>
      <c r="F56" s="182">
        <v>1</v>
      </c>
      <c r="G56" s="147">
        <f t="shared" si="6"/>
        <v>1615.34</v>
      </c>
      <c r="H56" s="185">
        <v>1239.9000000000001</v>
      </c>
      <c r="I56" s="186">
        <f t="shared" si="5"/>
        <v>1615.34</v>
      </c>
      <c r="J56" s="41">
        <f t="shared" si="0"/>
        <v>1239.9000000000001</v>
      </c>
    </row>
    <row r="57" spans="1:10" ht="49.9" customHeight="1" x14ac:dyDescent="0.2">
      <c r="A57" s="142" t="s">
        <v>123</v>
      </c>
      <c r="B57" s="183" t="s">
        <v>100</v>
      </c>
      <c r="C57" s="180">
        <v>39961</v>
      </c>
      <c r="D57" s="181" t="s">
        <v>153</v>
      </c>
      <c r="E57" s="180" t="s">
        <v>26</v>
      </c>
      <c r="F57" s="182">
        <v>3</v>
      </c>
      <c r="G57" s="147">
        <f t="shared" si="6"/>
        <v>27.49</v>
      </c>
      <c r="H57" s="185">
        <v>21.1</v>
      </c>
      <c r="I57" s="186">
        <f t="shared" si="5"/>
        <v>82.47</v>
      </c>
      <c r="J57" s="41">
        <f t="shared" si="0"/>
        <v>63.3</v>
      </c>
    </row>
    <row r="58" spans="1:10" ht="30" customHeight="1" x14ac:dyDescent="0.2">
      <c r="A58" s="187"/>
      <c r="B58" s="188"/>
      <c r="C58" s="180"/>
      <c r="D58" s="189" t="s">
        <v>125</v>
      </c>
      <c r="E58" s="180"/>
      <c r="F58" s="182"/>
      <c r="G58" s="182"/>
      <c r="H58" s="184"/>
      <c r="I58" s="190">
        <f>SUM(I43:I57)</f>
        <v>25412.850000000002</v>
      </c>
      <c r="J58" s="41">
        <f t="shared" si="0"/>
        <v>0</v>
      </c>
    </row>
    <row r="59" spans="1:10" ht="30" customHeight="1" x14ac:dyDescent="0.2">
      <c r="A59" s="187">
        <v>6</v>
      </c>
      <c r="B59" s="188"/>
      <c r="C59" s="180"/>
      <c r="D59" s="191" t="s">
        <v>126</v>
      </c>
      <c r="E59" s="180"/>
      <c r="F59" s="182"/>
      <c r="G59" s="182"/>
      <c r="H59" s="184"/>
      <c r="I59" s="192"/>
      <c r="J59" s="41">
        <f t="shared" si="0"/>
        <v>0</v>
      </c>
    </row>
    <row r="60" spans="1:10" ht="42" customHeight="1" x14ac:dyDescent="0.2">
      <c r="A60" s="142" t="s">
        <v>127</v>
      </c>
      <c r="B60" s="183" t="s">
        <v>154</v>
      </c>
      <c r="C60" s="180" t="s">
        <v>155</v>
      </c>
      <c r="D60" s="181" t="s">
        <v>156</v>
      </c>
      <c r="E60" s="180" t="s">
        <v>157</v>
      </c>
      <c r="F60" s="182">
        <v>1</v>
      </c>
      <c r="G60" s="193">
        <f>ROUND(H60+(H60*$I$13),2)</f>
        <v>21192.27</v>
      </c>
      <c r="H60" s="194">
        <f>'CPU 01 TURMALINA'!H33</f>
        <v>16266.711032000001</v>
      </c>
      <c r="I60" s="148">
        <f t="shared" ref="I60" si="7">ROUND(F60*G60,2)</f>
        <v>21192.27</v>
      </c>
      <c r="J60" s="41">
        <f>SUM(J19:J57)</f>
        <v>1039779.0800000002</v>
      </c>
    </row>
    <row r="61" spans="1:10" ht="30" customHeight="1" x14ac:dyDescent="0.2">
      <c r="A61" s="187"/>
      <c r="B61" s="188"/>
      <c r="C61" s="180"/>
      <c r="D61" s="189" t="s">
        <v>125</v>
      </c>
      <c r="E61" s="180"/>
      <c r="F61" s="195"/>
      <c r="G61" s="182"/>
      <c r="H61" s="184"/>
      <c r="I61" s="190">
        <f>SUM(I60:I60)</f>
        <v>21192.27</v>
      </c>
      <c r="J61" s="41">
        <f t="shared" si="0"/>
        <v>0</v>
      </c>
    </row>
    <row r="62" spans="1:10" x14ac:dyDescent="0.2">
      <c r="A62" s="187"/>
      <c r="B62" s="188"/>
      <c r="C62" s="180"/>
      <c r="D62" s="189"/>
      <c r="E62" s="180"/>
      <c r="F62" s="182"/>
      <c r="G62" s="182"/>
      <c r="H62" s="184"/>
      <c r="I62" s="196"/>
      <c r="J62" s="92"/>
    </row>
    <row r="63" spans="1:10" ht="19.899999999999999" customHeight="1" x14ac:dyDescent="0.2">
      <c r="A63" s="367" t="s">
        <v>31</v>
      </c>
      <c r="B63" s="368"/>
      <c r="C63" s="368"/>
      <c r="D63" s="368"/>
      <c r="E63" s="368"/>
      <c r="F63" s="368"/>
      <c r="G63" s="369"/>
      <c r="H63" s="197"/>
      <c r="I63" s="198">
        <f>I20+I26+I32+I41+I58+I61</f>
        <v>1375968.65</v>
      </c>
      <c r="J63" s="95"/>
    </row>
    <row r="64" spans="1:10" ht="12.75" x14ac:dyDescent="0.2">
      <c r="C64" s="106"/>
      <c r="D64" s="106"/>
    </row>
    <row r="65" spans="1:10" s="99" customFormat="1" ht="10.9" customHeight="1" x14ac:dyDescent="0.2">
      <c r="A65" s="98"/>
      <c r="B65" s="98"/>
      <c r="C65" s="363" t="s">
        <v>131</v>
      </c>
      <c r="D65" s="363"/>
      <c r="E65" s="98"/>
      <c r="F65" s="331" t="s">
        <v>132</v>
      </c>
      <c r="G65" s="331"/>
      <c r="H65" s="106"/>
      <c r="I65" s="98"/>
      <c r="J65" s="98"/>
    </row>
    <row r="66" spans="1:10" s="99" customFormat="1" ht="12.75" x14ac:dyDescent="0.2">
      <c r="A66" s="102"/>
      <c r="B66" s="102"/>
      <c r="C66" s="327" t="s">
        <v>133</v>
      </c>
      <c r="D66" s="327"/>
      <c r="E66" s="102"/>
      <c r="F66" s="327" t="s">
        <v>134</v>
      </c>
      <c r="G66" s="327"/>
      <c r="H66" s="107"/>
      <c r="I66" s="102"/>
      <c r="J66" s="102"/>
    </row>
    <row r="67" spans="1:10" s="99" customFormat="1" ht="12.75" hidden="1" customHeight="1" x14ac:dyDescent="0.2"/>
    <row r="68" spans="1:10" s="99" customFormat="1" ht="12.75" customHeight="1" x14ac:dyDescent="0.2"/>
    <row r="69" spans="1:10" s="99" customFormat="1" ht="12.75" customHeight="1" x14ac:dyDescent="0.2"/>
    <row r="70" spans="1:10" s="99" customFormat="1" ht="12.75" customHeight="1" x14ac:dyDescent="0.2"/>
    <row r="71" spans="1:10" s="99" customFormat="1" ht="12.75" x14ac:dyDescent="0.2">
      <c r="I71" s="105"/>
      <c r="J71" s="105"/>
    </row>
    <row r="72" spans="1:10" s="99" customFormat="1" ht="10.9" customHeight="1" x14ac:dyDescent="0.2">
      <c r="A72" s="98"/>
      <c r="B72" s="98"/>
      <c r="C72" s="331"/>
      <c r="D72" s="331"/>
      <c r="E72" s="98"/>
      <c r="F72" s="332"/>
      <c r="G72" s="332"/>
      <c r="H72" s="106"/>
      <c r="I72" s="98"/>
      <c r="J72" s="98"/>
    </row>
    <row r="73" spans="1:10" s="99" customFormat="1" ht="12.75" x14ac:dyDescent="0.2">
      <c r="A73" s="102"/>
      <c r="B73" s="102"/>
      <c r="C73" s="327"/>
      <c r="D73" s="327"/>
      <c r="E73" s="102"/>
      <c r="F73" s="327"/>
      <c r="G73" s="327"/>
      <c r="H73" s="107"/>
      <c r="I73" s="108"/>
      <c r="J73" s="108"/>
    </row>
    <row r="77" spans="1:10" ht="12" thickBot="1" x14ac:dyDescent="0.25"/>
    <row r="78" spans="1:10" ht="1.9" customHeight="1" x14ac:dyDescent="0.25">
      <c r="F78" s="319" t="s">
        <v>135</v>
      </c>
      <c r="G78" s="320"/>
      <c r="H78" s="320"/>
      <c r="I78" s="321"/>
      <c r="J78" s="109"/>
    </row>
    <row r="79" spans="1:10" ht="11.25" hidden="1" customHeight="1" x14ac:dyDescent="0.2">
      <c r="F79" s="110" t="s">
        <v>136</v>
      </c>
      <c r="G79" s="325"/>
      <c r="H79" s="325"/>
      <c r="I79" s="326"/>
      <c r="J79" s="111"/>
    </row>
    <row r="80" spans="1:10" ht="15" hidden="1" customHeight="1" x14ac:dyDescent="0.25">
      <c r="F80"/>
      <c r="G80" s="313">
        <v>743259.46</v>
      </c>
      <c r="H80" s="314"/>
      <c r="I80" s="315"/>
      <c r="J80" s="107"/>
    </row>
    <row r="81" spans="1:15" ht="56.25" hidden="1" x14ac:dyDescent="0.2">
      <c r="F81" s="110" t="s">
        <v>137</v>
      </c>
      <c r="G81" s="313">
        <f>I63*1.2</f>
        <v>1651162.38</v>
      </c>
      <c r="H81" s="314"/>
      <c r="I81" s="315"/>
      <c r="J81" s="107"/>
    </row>
    <row r="82" spans="1:15" ht="23.25" hidden="1" thickBot="1" x14ac:dyDescent="0.25">
      <c r="F82" s="112" t="s">
        <v>138</v>
      </c>
      <c r="G82" s="316">
        <f>G81-G80</f>
        <v>907902.91999999993</v>
      </c>
      <c r="H82" s="317"/>
      <c r="I82" s="318"/>
      <c r="J82" s="113"/>
    </row>
    <row r="85" spans="1:15" ht="12" thickBot="1" x14ac:dyDescent="0.25"/>
    <row r="86" spans="1:15" ht="15" x14ac:dyDescent="0.25">
      <c r="L86" s="319" t="s">
        <v>135</v>
      </c>
      <c r="M86" s="320"/>
      <c r="N86" s="320"/>
      <c r="O86" s="321"/>
    </row>
    <row r="87" spans="1:15" ht="22.5" x14ac:dyDescent="0.35">
      <c r="A87" s="322" t="s">
        <v>139</v>
      </c>
      <c r="B87" s="322"/>
      <c r="C87" s="322"/>
      <c r="D87" s="114">
        <f>I63</f>
        <v>1375968.65</v>
      </c>
      <c r="E87" s="115" t="s">
        <v>140</v>
      </c>
      <c r="F87" s="115"/>
      <c r="G87" s="323">
        <f>'[2]CAPELINHA Grillo mod'!I45</f>
        <v>347756.74999999994</v>
      </c>
      <c r="H87" s="324"/>
      <c r="I87" s="116">
        <f>D87+G87</f>
        <v>1723725.4</v>
      </c>
      <c r="J87" s="117"/>
      <c r="L87" s="110" t="s">
        <v>136</v>
      </c>
      <c r="M87" s="325"/>
      <c r="N87" s="325"/>
      <c r="O87" s="326"/>
    </row>
    <row r="88" spans="1:15" ht="22.5" x14ac:dyDescent="0.2">
      <c r="L88" s="110" t="s">
        <v>141</v>
      </c>
      <c r="M88" s="313">
        <v>743259.46</v>
      </c>
      <c r="N88" s="314"/>
      <c r="O88" s="315"/>
    </row>
    <row r="89" spans="1:15" ht="56.25" x14ac:dyDescent="0.2">
      <c r="L89" s="110" t="s">
        <v>142</v>
      </c>
      <c r="M89" s="313">
        <v>62980.9</v>
      </c>
      <c r="N89" s="314"/>
      <c r="O89" s="315"/>
    </row>
    <row r="90" spans="1:15" ht="33.75" x14ac:dyDescent="0.35">
      <c r="D90" s="118"/>
      <c r="L90" s="110" t="s">
        <v>143</v>
      </c>
      <c r="M90" s="313">
        <f>M88-M89</f>
        <v>680278.55999999994</v>
      </c>
      <c r="N90" s="314"/>
      <c r="O90" s="315"/>
    </row>
    <row r="91" spans="1:15" ht="90" x14ac:dyDescent="0.2">
      <c r="L91" s="110" t="s">
        <v>144</v>
      </c>
      <c r="M91" s="313">
        <f>I63</f>
        <v>1375968.65</v>
      </c>
      <c r="N91" s="314"/>
      <c r="O91" s="315"/>
    </row>
    <row r="92" spans="1:15" ht="45.75" thickBot="1" x14ac:dyDescent="0.25">
      <c r="L92" s="112" t="s">
        <v>138</v>
      </c>
      <c r="M92" s="316">
        <f>M91-M90</f>
        <v>695690.09</v>
      </c>
      <c r="N92" s="317"/>
      <c r="O92" s="318"/>
    </row>
    <row r="93" spans="1:15" ht="78.75" x14ac:dyDescent="0.2">
      <c r="L93" s="110" t="s">
        <v>137</v>
      </c>
      <c r="M93" s="313">
        <f>M91*1.15</f>
        <v>1582363.9474999998</v>
      </c>
      <c r="N93" s="314"/>
      <c r="O93" s="315"/>
    </row>
    <row r="94" spans="1:15" ht="79.5" thickBot="1" x14ac:dyDescent="0.25">
      <c r="L94" s="112" t="s">
        <v>145</v>
      </c>
      <c r="M94" s="316">
        <f>M93-M90</f>
        <v>902085.38749999984</v>
      </c>
      <c r="N94" s="317"/>
      <c r="O94" s="318"/>
    </row>
  </sheetData>
  <mergeCells count="40">
    <mergeCell ref="A63:G63"/>
    <mergeCell ref="A1:I4"/>
    <mergeCell ref="A5:I5"/>
    <mergeCell ref="A10:I10"/>
    <mergeCell ref="E14:E15"/>
    <mergeCell ref="G14:G15"/>
    <mergeCell ref="A16:A17"/>
    <mergeCell ref="B16:B17"/>
    <mergeCell ref="C16:C17"/>
    <mergeCell ref="D16:D17"/>
    <mergeCell ref="E16:E17"/>
    <mergeCell ref="F16:F17"/>
    <mergeCell ref="G16:I16"/>
    <mergeCell ref="K37:M37"/>
    <mergeCell ref="K38:M38"/>
    <mergeCell ref="K40:M40"/>
    <mergeCell ref="G81:I81"/>
    <mergeCell ref="C65:D65"/>
    <mergeCell ref="F65:G65"/>
    <mergeCell ref="C66:D66"/>
    <mergeCell ref="F66:G66"/>
    <mergeCell ref="C72:D72"/>
    <mergeCell ref="F72:G72"/>
    <mergeCell ref="C73:D73"/>
    <mergeCell ref="F73:G73"/>
    <mergeCell ref="F78:I78"/>
    <mergeCell ref="G79:I79"/>
    <mergeCell ref="G80:I80"/>
    <mergeCell ref="M94:O94"/>
    <mergeCell ref="G82:I82"/>
    <mergeCell ref="L86:O86"/>
    <mergeCell ref="A87:C87"/>
    <mergeCell ref="G87:H87"/>
    <mergeCell ref="M87:O87"/>
    <mergeCell ref="M88:O88"/>
    <mergeCell ref="M89:O89"/>
    <mergeCell ref="M90:O90"/>
    <mergeCell ref="M91:O91"/>
    <mergeCell ref="M92:O92"/>
    <mergeCell ref="M93:O9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60" orientation="portrait" verticalDpi="300" r:id="rId1"/>
  <rowBreaks count="1" manualBreakCount="1">
    <brk id="41" max="8" man="1"/>
  </rowBreaks>
  <colBreaks count="1" manualBreakCount="1">
    <brk id="10" max="8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255E-6C3D-456F-B4F8-D27360C21AEF}">
  <dimension ref="A1:H47"/>
  <sheetViews>
    <sheetView topLeftCell="A17" zoomScaleNormal="100" workbookViewId="0">
      <selection activeCell="D92" sqref="D92"/>
    </sheetView>
  </sheetViews>
  <sheetFormatPr defaultColWidth="8.85546875" defaultRowHeight="12" x14ac:dyDescent="0.25"/>
  <cols>
    <col min="1" max="1" width="3.5703125" style="199" customWidth="1"/>
    <col min="2" max="2" width="7.85546875" style="199" customWidth="1"/>
    <col min="3" max="3" width="14.7109375" style="199" customWidth="1"/>
    <col min="4" max="4" width="47.85546875" style="199" customWidth="1"/>
    <col min="5" max="5" width="8.85546875" style="199" customWidth="1"/>
    <col min="6" max="6" width="13.5703125" style="199" customWidth="1"/>
    <col min="7" max="7" width="10.42578125" style="199" customWidth="1"/>
    <col min="8" max="8" width="12.7109375" style="199" customWidth="1"/>
    <col min="9" max="16384" width="8.85546875" style="199"/>
  </cols>
  <sheetData>
    <row r="1" spans="1:8" ht="12" customHeight="1" x14ac:dyDescent="0.25">
      <c r="B1" s="370" t="s">
        <v>158</v>
      </c>
      <c r="C1" s="371"/>
      <c r="D1" s="371"/>
      <c r="E1" s="371"/>
      <c r="F1" s="371"/>
      <c r="G1" s="371"/>
      <c r="H1" s="371"/>
    </row>
    <row r="2" spans="1:8" ht="12" customHeight="1" x14ac:dyDescent="0.25">
      <c r="B2" s="401"/>
      <c r="C2" s="402"/>
      <c r="D2" s="402"/>
      <c r="E2" s="402"/>
      <c r="F2" s="402"/>
      <c r="G2" s="402"/>
      <c r="H2" s="402"/>
    </row>
    <row r="3" spans="1:8" ht="12" customHeight="1" x14ac:dyDescent="0.25">
      <c r="B3" s="401"/>
      <c r="C3" s="402"/>
      <c r="D3" s="402"/>
      <c r="E3" s="402"/>
      <c r="F3" s="402"/>
      <c r="G3" s="402"/>
      <c r="H3" s="402"/>
    </row>
    <row r="4" spans="1:8" ht="101.45" customHeight="1" thickBot="1" x14ac:dyDescent="0.3">
      <c r="B4" s="403"/>
      <c r="C4" s="404"/>
      <c r="D4" s="404"/>
      <c r="E4" s="404"/>
      <c r="F4" s="404"/>
      <c r="G4" s="404"/>
      <c r="H4" s="404"/>
    </row>
    <row r="5" spans="1:8" ht="21.6" customHeight="1" thickBot="1" x14ac:dyDescent="0.3">
      <c r="A5" s="200"/>
      <c r="B5" s="405" t="s">
        <v>159</v>
      </c>
      <c r="C5" s="406"/>
      <c r="D5" s="406"/>
      <c r="E5" s="406"/>
      <c r="F5" s="406"/>
      <c r="G5" s="406"/>
      <c r="H5" s="407"/>
    </row>
    <row r="6" spans="1:8" ht="21.6" customHeight="1" x14ac:dyDescent="0.2">
      <c r="A6" s="200"/>
      <c r="B6" s="408" t="s">
        <v>7</v>
      </c>
      <c r="C6" s="409"/>
      <c r="D6" s="409"/>
      <c r="E6" s="409"/>
      <c r="F6" s="409"/>
      <c r="G6" s="409"/>
      <c r="H6" s="410"/>
    </row>
    <row r="7" spans="1:8" ht="21.6" customHeight="1" x14ac:dyDescent="0.2">
      <c r="A7" s="200"/>
      <c r="B7" s="119" t="s">
        <v>8</v>
      </c>
      <c r="C7" s="120"/>
      <c r="D7" s="120"/>
      <c r="E7" s="120" t="s">
        <v>9</v>
      </c>
      <c r="F7" s="201">
        <v>5.08</v>
      </c>
      <c r="G7" s="15" t="s">
        <v>10</v>
      </c>
      <c r="H7" s="130" t="s">
        <v>11</v>
      </c>
    </row>
    <row r="8" spans="1:8" ht="21.6" customHeight="1" x14ac:dyDescent="0.2">
      <c r="A8" s="200"/>
      <c r="B8" s="411" t="s">
        <v>12</v>
      </c>
      <c r="C8" s="412"/>
      <c r="D8" s="412"/>
      <c r="E8" s="120" t="s">
        <v>14</v>
      </c>
      <c r="F8" s="15">
        <v>193.97</v>
      </c>
      <c r="G8" s="15" t="s">
        <v>15</v>
      </c>
      <c r="H8" s="133">
        <v>0.30280000000000001</v>
      </c>
    </row>
    <row r="9" spans="1:8" ht="21.6" customHeight="1" x14ac:dyDescent="0.2">
      <c r="A9" s="200"/>
      <c r="B9" s="119" t="s">
        <v>16</v>
      </c>
      <c r="C9" s="120"/>
      <c r="D9" s="120"/>
      <c r="E9" s="202" t="s">
        <v>17</v>
      </c>
      <c r="F9" s="15" t="s">
        <v>18</v>
      </c>
      <c r="G9" s="202" t="s">
        <v>19</v>
      </c>
      <c r="H9" s="135" t="s">
        <v>20</v>
      </c>
    </row>
    <row r="10" spans="1:8" ht="21.6" customHeight="1" thickBot="1" x14ac:dyDescent="0.25">
      <c r="A10" s="200"/>
      <c r="B10" s="124"/>
      <c r="C10" s="125"/>
      <c r="D10" s="125"/>
      <c r="E10" s="203"/>
      <c r="F10" s="204" t="s">
        <v>21</v>
      </c>
      <c r="G10" s="203"/>
      <c r="H10" s="205" t="s">
        <v>21</v>
      </c>
    </row>
    <row r="11" spans="1:8" x14ac:dyDescent="0.25">
      <c r="A11" s="413"/>
      <c r="B11" s="414" t="s">
        <v>160</v>
      </c>
      <c r="C11" s="415"/>
      <c r="D11" s="415"/>
      <c r="E11" s="415"/>
      <c r="F11" s="415"/>
      <c r="G11" s="415"/>
      <c r="H11" s="416"/>
    </row>
    <row r="12" spans="1:8" ht="16.899999999999999" customHeight="1" x14ac:dyDescent="0.25">
      <c r="A12" s="413"/>
      <c r="B12" s="417" t="s">
        <v>161</v>
      </c>
      <c r="C12" s="418"/>
      <c r="D12" s="419" t="s">
        <v>162</v>
      </c>
      <c r="E12" s="420"/>
      <c r="F12" s="421"/>
      <c r="G12" s="206" t="s">
        <v>163</v>
      </c>
      <c r="H12" s="207" t="s">
        <v>164</v>
      </c>
    </row>
    <row r="13" spans="1:8" x14ac:dyDescent="0.25">
      <c r="A13" s="413"/>
      <c r="B13" s="422"/>
      <c r="C13" s="423"/>
      <c r="D13" s="423"/>
      <c r="E13" s="423"/>
      <c r="F13" s="423"/>
      <c r="G13" s="424"/>
      <c r="H13" s="425"/>
    </row>
    <row r="14" spans="1:8" ht="29.45" customHeight="1" x14ac:dyDescent="0.25">
      <c r="A14" s="413"/>
      <c r="B14" s="426" t="s">
        <v>165</v>
      </c>
      <c r="C14" s="427"/>
      <c r="D14" s="208" t="s">
        <v>166</v>
      </c>
      <c r="E14" s="209" t="s">
        <v>167</v>
      </c>
      <c r="F14" s="208" t="s">
        <v>168</v>
      </c>
      <c r="G14" s="210" t="s">
        <v>169</v>
      </c>
      <c r="H14" s="211" t="s">
        <v>170</v>
      </c>
    </row>
    <row r="15" spans="1:8" ht="47.45" customHeight="1" x14ac:dyDescent="0.25">
      <c r="A15" s="413"/>
      <c r="B15" s="212" t="s">
        <v>34</v>
      </c>
      <c r="C15" s="213" t="s">
        <v>171</v>
      </c>
      <c r="D15" s="214" t="s">
        <v>172</v>
      </c>
      <c r="E15" s="215" t="s">
        <v>173</v>
      </c>
      <c r="F15" s="216">
        <v>244.07769999999999</v>
      </c>
      <c r="G15" s="217">
        <v>1</v>
      </c>
      <c r="H15" s="218">
        <f>F15*G15</f>
        <v>244.07769999999999</v>
      </c>
    </row>
    <row r="16" spans="1:8" x14ac:dyDescent="0.25">
      <c r="A16" s="413"/>
      <c r="B16" s="212" t="s">
        <v>34</v>
      </c>
      <c r="C16" s="213" t="s">
        <v>174</v>
      </c>
      <c r="D16" s="214" t="s">
        <v>175</v>
      </c>
      <c r="E16" s="215" t="s">
        <v>176</v>
      </c>
      <c r="F16" s="216">
        <v>120.0642</v>
      </c>
      <c r="G16" s="217">
        <v>1</v>
      </c>
      <c r="H16" s="218">
        <f t="shared" ref="H16:H26" si="0">F16*G16</f>
        <v>120.0642</v>
      </c>
    </row>
    <row r="17" spans="1:8" ht="48" x14ac:dyDescent="0.25">
      <c r="A17" s="413"/>
      <c r="B17" s="212" t="s">
        <v>34</v>
      </c>
      <c r="C17" s="213" t="str">
        <f>C15</f>
        <v>EQED-19708</v>
      </c>
      <c r="D17" s="214" t="s">
        <v>172</v>
      </c>
      <c r="E17" s="215" t="s">
        <v>173</v>
      </c>
      <c r="F17" s="216">
        <f>F15</f>
        <v>244.07769999999999</v>
      </c>
      <c r="G17" s="217">
        <v>1</v>
      </c>
      <c r="H17" s="218">
        <f t="shared" si="0"/>
        <v>244.07769999999999</v>
      </c>
    </row>
    <row r="18" spans="1:8" ht="48" x14ac:dyDescent="0.25">
      <c r="A18" s="413"/>
      <c r="B18" s="212" t="s">
        <v>34</v>
      </c>
      <c r="C18" s="213" t="s">
        <v>177</v>
      </c>
      <c r="D18" s="214" t="s">
        <v>178</v>
      </c>
      <c r="E18" s="215" t="s">
        <v>176</v>
      </c>
      <c r="F18" s="216">
        <v>53.804400000000001</v>
      </c>
      <c r="G18" s="217">
        <v>1</v>
      </c>
      <c r="H18" s="218">
        <f t="shared" si="0"/>
        <v>53.804400000000001</v>
      </c>
    </row>
    <row r="19" spans="1:8" ht="48" x14ac:dyDescent="0.25">
      <c r="A19" s="413"/>
      <c r="B19" s="212" t="s">
        <v>34</v>
      </c>
      <c r="C19" s="213" t="str">
        <f>C15</f>
        <v>EQED-19708</v>
      </c>
      <c r="D19" s="214" t="s">
        <v>172</v>
      </c>
      <c r="E19" s="215" t="s">
        <v>173</v>
      </c>
      <c r="F19" s="216">
        <f>F15</f>
        <v>244.07769999999999</v>
      </c>
      <c r="G19" s="217">
        <v>1</v>
      </c>
      <c r="H19" s="218">
        <f t="shared" si="0"/>
        <v>244.07769999999999</v>
      </c>
    </row>
    <row r="20" spans="1:8" x14ac:dyDescent="0.25">
      <c r="A20" s="413"/>
      <c r="B20" s="212" t="s">
        <v>34</v>
      </c>
      <c r="C20" s="213" t="s">
        <v>179</v>
      </c>
      <c r="D20" s="214" t="s">
        <v>180</v>
      </c>
      <c r="E20" s="215" t="s">
        <v>176</v>
      </c>
      <c r="F20" s="216">
        <v>36.373100000000001</v>
      </c>
      <c r="G20" s="217">
        <v>1</v>
      </c>
      <c r="H20" s="218">
        <f t="shared" si="0"/>
        <v>36.373100000000001</v>
      </c>
    </row>
    <row r="21" spans="1:8" ht="48" x14ac:dyDescent="0.25">
      <c r="A21" s="413"/>
      <c r="B21" s="212" t="s">
        <v>34</v>
      </c>
      <c r="C21" s="213" t="str">
        <f>C15</f>
        <v>EQED-19708</v>
      </c>
      <c r="D21" s="214" t="s">
        <v>172</v>
      </c>
      <c r="E21" s="215" t="s">
        <v>173</v>
      </c>
      <c r="F21" s="216">
        <f>F15</f>
        <v>244.07769999999999</v>
      </c>
      <c r="G21" s="217">
        <v>1</v>
      </c>
      <c r="H21" s="218">
        <f t="shared" si="0"/>
        <v>244.07769999999999</v>
      </c>
    </row>
    <row r="22" spans="1:8" ht="26.45" customHeight="1" x14ac:dyDescent="0.25">
      <c r="A22" s="413"/>
      <c r="B22" s="212" t="s">
        <v>34</v>
      </c>
      <c r="C22" s="213" t="s">
        <v>181</v>
      </c>
      <c r="D22" s="214" t="s">
        <v>182</v>
      </c>
      <c r="E22" s="215" t="s">
        <v>176</v>
      </c>
      <c r="F22" s="216">
        <v>74.957999999999998</v>
      </c>
      <c r="G22" s="217">
        <v>1</v>
      </c>
      <c r="H22" s="218">
        <f t="shared" si="0"/>
        <v>74.957999999999998</v>
      </c>
    </row>
    <row r="23" spans="1:8" ht="48" x14ac:dyDescent="0.25">
      <c r="A23" s="413"/>
      <c r="B23" s="212" t="s">
        <v>34</v>
      </c>
      <c r="C23" s="213" t="str">
        <f>C15</f>
        <v>EQED-19708</v>
      </c>
      <c r="D23" s="214" t="s">
        <v>172</v>
      </c>
      <c r="E23" s="215" t="s">
        <v>173</v>
      </c>
      <c r="F23" s="216">
        <f>F15</f>
        <v>244.07769999999999</v>
      </c>
      <c r="G23" s="217">
        <v>1</v>
      </c>
      <c r="H23" s="218">
        <f t="shared" si="0"/>
        <v>244.07769999999999</v>
      </c>
    </row>
    <row r="24" spans="1:8" ht="24" x14ac:dyDescent="0.25">
      <c r="A24" s="413"/>
      <c r="B24" s="212" t="s">
        <v>34</v>
      </c>
      <c r="C24" s="213" t="s">
        <v>183</v>
      </c>
      <c r="D24" s="214" t="s">
        <v>184</v>
      </c>
      <c r="E24" s="215" t="s">
        <v>176</v>
      </c>
      <c r="F24" s="216">
        <v>121.88379999999999</v>
      </c>
      <c r="G24" s="217">
        <v>1</v>
      </c>
      <c r="H24" s="218">
        <f t="shared" si="0"/>
        <v>121.88379999999999</v>
      </c>
    </row>
    <row r="25" spans="1:8" x14ac:dyDescent="0.25">
      <c r="A25" s="413"/>
      <c r="B25" s="212" t="s">
        <v>34</v>
      </c>
      <c r="C25" s="213" t="s">
        <v>185</v>
      </c>
      <c r="D25" s="214" t="s">
        <v>186</v>
      </c>
      <c r="E25" s="215" t="s">
        <v>173</v>
      </c>
      <c r="F25" s="216">
        <v>334.55689999999998</v>
      </c>
      <c r="G25" s="217">
        <v>1</v>
      </c>
      <c r="H25" s="218">
        <f t="shared" si="0"/>
        <v>334.55689999999998</v>
      </c>
    </row>
    <row r="26" spans="1:8" ht="24.75" thickBot="1" x14ac:dyDescent="0.3">
      <c r="A26" s="413"/>
      <c r="B26" s="212" t="s">
        <v>34</v>
      </c>
      <c r="C26" s="213" t="s">
        <v>187</v>
      </c>
      <c r="D26" s="214" t="s">
        <v>188</v>
      </c>
      <c r="E26" s="215" t="s">
        <v>173</v>
      </c>
      <c r="F26" s="216">
        <v>293.93389999999999</v>
      </c>
      <c r="G26" s="217">
        <v>3</v>
      </c>
      <c r="H26" s="218">
        <f t="shared" si="0"/>
        <v>881.80169999999998</v>
      </c>
    </row>
    <row r="27" spans="1:8" ht="12.75" thickBot="1" x14ac:dyDescent="0.3">
      <c r="A27" s="413"/>
      <c r="B27" s="395" t="s">
        <v>189</v>
      </c>
      <c r="C27" s="396"/>
      <c r="D27" s="396"/>
      <c r="E27" s="396"/>
      <c r="F27" s="396"/>
      <c r="G27" s="397"/>
      <c r="H27" s="219">
        <f>SUM(H11:H26)</f>
        <v>2843.8306000000002</v>
      </c>
    </row>
    <row r="28" spans="1:8" ht="13.15" customHeight="1" x14ac:dyDescent="0.25">
      <c r="A28" s="413"/>
      <c r="B28" s="398" t="s">
        <v>190</v>
      </c>
      <c r="C28" s="398"/>
      <c r="D28" s="398"/>
      <c r="E28" s="220">
        <v>100</v>
      </c>
      <c r="F28" s="221" t="s">
        <v>191</v>
      </c>
      <c r="G28" s="221" t="s">
        <v>192</v>
      </c>
      <c r="H28" s="222" t="s">
        <v>193</v>
      </c>
    </row>
    <row r="29" spans="1:8" ht="13.15" customHeight="1" x14ac:dyDescent="0.25">
      <c r="A29" s="413"/>
      <c r="B29" s="399" t="s">
        <v>194</v>
      </c>
      <c r="C29" s="391"/>
      <c r="D29" s="391"/>
      <c r="E29" s="223">
        <v>70</v>
      </c>
      <c r="F29" s="224" t="s">
        <v>191</v>
      </c>
      <c r="G29" s="400"/>
      <c r="H29" s="400"/>
    </row>
    <row r="30" spans="1:8" ht="13.15" customHeight="1" x14ac:dyDescent="0.25">
      <c r="A30" s="413"/>
      <c r="B30" s="391" t="s">
        <v>195</v>
      </c>
      <c r="C30" s="391"/>
      <c r="D30" s="391"/>
      <c r="E30" s="225">
        <v>200</v>
      </c>
      <c r="F30" s="224" t="s">
        <v>196</v>
      </c>
      <c r="G30" s="400"/>
      <c r="H30" s="400"/>
    </row>
    <row r="31" spans="1:8" ht="13.15" customHeight="1" x14ac:dyDescent="0.25">
      <c r="A31" s="413"/>
      <c r="B31" s="391" t="s">
        <v>197</v>
      </c>
      <c r="C31" s="391"/>
      <c r="D31" s="391"/>
      <c r="E31" s="225">
        <f>ROUND(E30/E29,2)</f>
        <v>2.86</v>
      </c>
      <c r="F31" s="224" t="s">
        <v>198</v>
      </c>
      <c r="G31" s="224" t="s">
        <v>199</v>
      </c>
      <c r="H31" s="226">
        <f>H27*E31</f>
        <v>8133.3555160000005</v>
      </c>
    </row>
    <row r="32" spans="1:8" ht="13.15" customHeight="1" thickBot="1" x14ac:dyDescent="0.3">
      <c r="A32" s="413"/>
      <c r="B32" s="391" t="s">
        <v>200</v>
      </c>
      <c r="C32" s="391"/>
      <c r="D32" s="391"/>
      <c r="E32" s="225">
        <f>E31</f>
        <v>2.86</v>
      </c>
      <c r="F32" s="224" t="s">
        <v>198</v>
      </c>
      <c r="G32" s="224" t="s">
        <v>201</v>
      </c>
      <c r="H32" s="226">
        <f>H31</f>
        <v>8133.3555160000005</v>
      </c>
    </row>
    <row r="33" spans="2:8" ht="35.450000000000003" customHeight="1" thickBot="1" x14ac:dyDescent="0.3">
      <c r="B33" s="392" t="s">
        <v>202</v>
      </c>
      <c r="C33" s="393"/>
      <c r="D33" s="393"/>
      <c r="E33" s="393"/>
      <c r="F33" s="393"/>
      <c r="G33" s="394"/>
      <c r="H33" s="227">
        <f>SUM(H31:H32)</f>
        <v>16266.711032000001</v>
      </c>
    </row>
    <row r="35" spans="2:8" x14ac:dyDescent="0.2">
      <c r="B35" s="228"/>
      <c r="C35" s="229"/>
      <c r="D35" s="230"/>
      <c r="E35" s="230"/>
      <c r="F35" s="230"/>
      <c r="G35" s="230"/>
      <c r="H35" s="231"/>
    </row>
    <row r="36" spans="2:8" x14ac:dyDescent="0.2">
      <c r="B36" s="228"/>
      <c r="C36" s="232"/>
      <c r="D36" s="233"/>
      <c r="E36" s="233"/>
      <c r="F36" s="233"/>
      <c r="G36" s="233"/>
      <c r="H36" s="234"/>
    </row>
    <row r="37" spans="2:8" x14ac:dyDescent="0.2">
      <c r="B37" s="228"/>
      <c r="C37" s="232"/>
      <c r="D37" s="233"/>
      <c r="E37" s="233"/>
      <c r="F37" s="233"/>
      <c r="G37" s="233"/>
      <c r="H37" s="234"/>
    </row>
    <row r="38" spans="2:8" ht="12.75" x14ac:dyDescent="0.2">
      <c r="B38" s="228"/>
      <c r="C38" s="235"/>
      <c r="D38" s="363" t="s">
        <v>131</v>
      </c>
      <c r="E38" s="363"/>
      <c r="F38" s="98"/>
      <c r="G38" s="331" t="s">
        <v>132</v>
      </c>
      <c r="H38" s="331"/>
    </row>
    <row r="39" spans="2:8" x14ac:dyDescent="0.25">
      <c r="C39" s="236"/>
      <c r="D39" s="327" t="s">
        <v>133</v>
      </c>
      <c r="E39" s="327"/>
      <c r="F39" s="102"/>
      <c r="G39" s="327" t="s">
        <v>134</v>
      </c>
      <c r="H39" s="327"/>
    </row>
    <row r="40" spans="2:8" x14ac:dyDescent="0.25">
      <c r="C40" s="236"/>
      <c r="D40" s="237"/>
      <c r="E40" s="237"/>
      <c r="F40" s="237"/>
      <c r="G40" s="237"/>
      <c r="H40" s="238"/>
    </row>
    <row r="41" spans="2:8" ht="12.75" x14ac:dyDescent="0.25">
      <c r="C41" s="239"/>
      <c r="D41" s="240"/>
      <c r="E41" s="241"/>
      <c r="F41" s="241"/>
      <c r="G41" s="241"/>
      <c r="H41" s="242"/>
    </row>
    <row r="42" spans="2:8" ht="12.75" x14ac:dyDescent="0.25">
      <c r="C42" s="239"/>
      <c r="D42" s="240"/>
      <c r="E42" s="241"/>
      <c r="F42" s="241"/>
      <c r="G42" s="241"/>
      <c r="H42" s="242"/>
    </row>
    <row r="43" spans="2:8" ht="12.75" x14ac:dyDescent="0.25">
      <c r="C43" s="239"/>
      <c r="D43" s="241"/>
      <c r="E43" s="241"/>
      <c r="F43" s="241"/>
      <c r="G43" s="241"/>
      <c r="H43" s="243"/>
    </row>
    <row r="44" spans="2:8" x14ac:dyDescent="0.25">
      <c r="C44" s="235"/>
      <c r="D44" s="244"/>
      <c r="E44" s="244"/>
      <c r="F44" s="244"/>
      <c r="G44" s="244"/>
      <c r="H44" s="245"/>
    </row>
    <row r="45" spans="2:8" x14ac:dyDescent="0.25">
      <c r="C45" s="236"/>
      <c r="D45" s="237"/>
      <c r="E45" s="237"/>
      <c r="F45" s="237"/>
      <c r="G45" s="237"/>
      <c r="H45" s="238"/>
    </row>
    <row r="46" spans="2:8" x14ac:dyDescent="0.25">
      <c r="C46" s="236"/>
      <c r="D46" s="246"/>
      <c r="E46" s="247"/>
      <c r="F46" s="237"/>
      <c r="G46" s="237"/>
      <c r="H46" s="248"/>
    </row>
    <row r="47" spans="2:8" ht="12.75" x14ac:dyDescent="0.25">
      <c r="C47" s="249"/>
      <c r="D47" s="250"/>
      <c r="E47" s="250"/>
      <c r="F47" s="250"/>
      <c r="G47" s="250"/>
      <c r="H47" s="251"/>
    </row>
  </sheetData>
  <mergeCells count="22">
    <mergeCell ref="A11:A32"/>
    <mergeCell ref="B11:H11"/>
    <mergeCell ref="B12:C12"/>
    <mergeCell ref="D12:F12"/>
    <mergeCell ref="B13:H13"/>
    <mergeCell ref="B14:C14"/>
    <mergeCell ref="B31:D31"/>
    <mergeCell ref="B1:H4"/>
    <mergeCell ref="B5:H5"/>
    <mergeCell ref="B6:H6"/>
    <mergeCell ref="B8:D8"/>
    <mergeCell ref="B27:G27"/>
    <mergeCell ref="B28:D28"/>
    <mergeCell ref="B29:D29"/>
    <mergeCell ref="G29:H30"/>
    <mergeCell ref="B30:D30"/>
    <mergeCell ref="B32:D32"/>
    <mergeCell ref="B33:G33"/>
    <mergeCell ref="D38:E38"/>
    <mergeCell ref="G38:H38"/>
    <mergeCell ref="D39:E39"/>
    <mergeCell ref="G39:H39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C9DC-983E-4BA8-9134-7E5B85E92F7F}">
  <sheetPr>
    <tabColor rgb="FF002060"/>
  </sheetPr>
  <dimension ref="A1:L33"/>
  <sheetViews>
    <sheetView tabSelected="1"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15.7109375" customWidth="1"/>
    <col min="2" max="2" width="51.140625" customWidth="1"/>
    <col min="3" max="10" width="15.7109375" customWidth="1"/>
    <col min="11" max="11" width="14.5703125" customWidth="1"/>
  </cols>
  <sheetData>
    <row r="1" spans="1:11" x14ac:dyDescent="0.25">
      <c r="A1" s="445" t="str">
        <f>'[4]CAPELINHA Grillo'!A1:I4</f>
        <v>CIM JEQUITINHONHA
Consórcio Integrado Multifinalitário do Vale do Jequitinhonha
RUA ZECA BRUNO 131 - CAZUZA DIAMANTINA/MG 
Email: engcivil.cimjequitinhonha@gmail.com</v>
      </c>
      <c r="B1" s="446"/>
      <c r="C1" s="446"/>
      <c r="D1" s="446"/>
      <c r="E1" s="446"/>
      <c r="F1" s="446"/>
      <c r="G1" s="446"/>
      <c r="H1" s="446"/>
      <c r="I1" s="446"/>
      <c r="J1" s="447"/>
    </row>
    <row r="2" spans="1:1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50"/>
    </row>
    <row r="3" spans="1:11" ht="15.75" customHeight="1" x14ac:dyDescent="0.25">
      <c r="A3" s="448"/>
      <c r="B3" s="449"/>
      <c r="C3" s="449"/>
      <c r="D3" s="449"/>
      <c r="E3" s="449"/>
      <c r="F3" s="449"/>
      <c r="G3" s="449"/>
      <c r="H3" s="449"/>
      <c r="I3" s="449"/>
      <c r="J3" s="450"/>
    </row>
    <row r="4" spans="1:11" x14ac:dyDescent="0.25">
      <c r="A4" s="448"/>
      <c r="B4" s="449"/>
      <c r="C4" s="449"/>
      <c r="D4" s="449"/>
      <c r="E4" s="449"/>
      <c r="F4" s="449"/>
      <c r="G4" s="449"/>
      <c r="H4" s="449"/>
      <c r="I4" s="449"/>
      <c r="J4" s="450"/>
    </row>
    <row r="5" spans="1:11" ht="15.75" thickBot="1" x14ac:dyDescent="0.3">
      <c r="A5" s="451" t="s">
        <v>203</v>
      </c>
      <c r="B5" s="452"/>
      <c r="C5" s="452"/>
      <c r="D5" s="452"/>
      <c r="E5" s="452"/>
      <c r="F5" s="452"/>
      <c r="G5" s="452"/>
      <c r="H5" s="452"/>
      <c r="I5" s="452"/>
      <c r="J5" s="453"/>
    </row>
    <row r="6" spans="1:11" s="253" customFormat="1" ht="35.25" customHeight="1" x14ac:dyDescent="0.25">
      <c r="A6" s="454" t="s">
        <v>204</v>
      </c>
      <c r="B6" s="455"/>
      <c r="C6" s="456" t="s">
        <v>205</v>
      </c>
      <c r="D6" s="457"/>
      <c r="E6" s="458">
        <f>'[2]Orç. Turalina ÁLVARO SICOR'!I63</f>
        <v>1375968.65</v>
      </c>
      <c r="F6" s="458"/>
      <c r="G6" s="252"/>
      <c r="H6" s="456" t="s">
        <v>206</v>
      </c>
      <c r="I6" s="457"/>
      <c r="J6" s="459"/>
    </row>
    <row r="7" spans="1:11" ht="30" customHeight="1" thickBot="1" x14ac:dyDescent="0.3">
      <c r="A7" s="438" t="s">
        <v>207</v>
      </c>
      <c r="B7" s="439"/>
      <c r="C7" s="440" t="s">
        <v>208</v>
      </c>
      <c r="D7" s="440"/>
      <c r="E7" s="440"/>
      <c r="F7" s="440"/>
      <c r="G7" s="440"/>
      <c r="H7" s="441" t="s">
        <v>209</v>
      </c>
      <c r="I7" s="440"/>
      <c r="J7" s="442"/>
    </row>
    <row r="8" spans="1:11" ht="26.25" thickBot="1" x14ac:dyDescent="0.3">
      <c r="A8" s="254" t="s">
        <v>22</v>
      </c>
      <c r="B8" s="255" t="s">
        <v>210</v>
      </c>
      <c r="C8" s="256" t="s">
        <v>211</v>
      </c>
      <c r="D8" s="256" t="s">
        <v>212</v>
      </c>
      <c r="E8" s="257" t="s">
        <v>213</v>
      </c>
      <c r="F8" s="257" t="s">
        <v>214</v>
      </c>
      <c r="G8" s="257" t="s">
        <v>215</v>
      </c>
      <c r="H8" s="257" t="s">
        <v>216</v>
      </c>
      <c r="I8" s="257" t="s">
        <v>217</v>
      </c>
      <c r="J8" s="258" t="s">
        <v>218</v>
      </c>
    </row>
    <row r="9" spans="1:11" x14ac:dyDescent="0.25">
      <c r="A9" s="443">
        <f>'[4]TURMALINA Gentio'!A18</f>
        <v>1</v>
      </c>
      <c r="B9" s="444" t="str">
        <f>'[4]TURMALINA Gentio'!D18</f>
        <v>INSTALAÇÕES INICIAIS DA OBRA</v>
      </c>
      <c r="C9" s="259" t="s">
        <v>219</v>
      </c>
      <c r="D9" s="260">
        <f>D10/$D$22</f>
        <v>1.2868679820575856E-3</v>
      </c>
      <c r="E9" s="260">
        <v>1</v>
      </c>
      <c r="F9" s="260">
        <v>0</v>
      </c>
      <c r="G9" s="260">
        <v>0</v>
      </c>
      <c r="H9" s="261">
        <v>0</v>
      </c>
      <c r="I9" s="260"/>
      <c r="J9" s="262"/>
      <c r="K9" s="263">
        <f>SUM(E9:J9)</f>
        <v>1</v>
      </c>
    </row>
    <row r="10" spans="1:11" ht="24" customHeight="1" x14ac:dyDescent="0.25">
      <c r="A10" s="429"/>
      <c r="B10" s="431"/>
      <c r="C10" s="264" t="s">
        <v>220</v>
      </c>
      <c r="D10" s="265">
        <f>'[2]Orç. Turalina ÁLVARO SICOR'!I20</f>
        <v>1770.69</v>
      </c>
      <c r="E10" s="265">
        <f t="shared" ref="E10:H10" si="0">E9*$D$10</f>
        <v>1770.69</v>
      </c>
      <c r="F10" s="265">
        <f t="shared" si="0"/>
        <v>0</v>
      </c>
      <c r="G10" s="265">
        <f t="shared" si="0"/>
        <v>0</v>
      </c>
      <c r="H10" s="265">
        <f t="shared" si="0"/>
        <v>0</v>
      </c>
      <c r="I10" s="265"/>
      <c r="J10" s="266"/>
      <c r="K10" s="267">
        <f>SUM(E10:J10)</f>
        <v>1770.69</v>
      </c>
    </row>
    <row r="11" spans="1:11" x14ac:dyDescent="0.25">
      <c r="A11" s="429">
        <f>'[4]TURMALINA Gentio'!A22</f>
        <v>2</v>
      </c>
      <c r="B11" s="431" t="str">
        <f>'[4]TURMALINA Gentio'!D22</f>
        <v>LIMPEZA DA ÁREA DE TRABALHO</v>
      </c>
      <c r="C11" s="264" t="s">
        <v>219</v>
      </c>
      <c r="D11" s="260">
        <f>D12/$D$22</f>
        <v>9.6697944389939408E-2</v>
      </c>
      <c r="E11" s="260">
        <v>1</v>
      </c>
      <c r="F11" s="260">
        <v>0</v>
      </c>
      <c r="G11" s="260">
        <v>0</v>
      </c>
      <c r="H11" s="261">
        <v>0</v>
      </c>
      <c r="I11" s="260"/>
      <c r="J11" s="262"/>
      <c r="K11" s="263">
        <f t="shared" ref="K11:K22" si="1">SUM(E11:J11)</f>
        <v>1</v>
      </c>
    </row>
    <row r="12" spans="1:11" ht="24" customHeight="1" x14ac:dyDescent="0.25">
      <c r="A12" s="429"/>
      <c r="B12" s="431"/>
      <c r="C12" s="264" t="s">
        <v>220</v>
      </c>
      <c r="D12" s="265">
        <f>'[2]Orç. Turalina ÁLVARO SICOR'!I26</f>
        <v>133053.34</v>
      </c>
      <c r="E12" s="265">
        <f t="shared" ref="E12:H12" si="2">E11*$D$12</f>
        <v>133053.34</v>
      </c>
      <c r="F12" s="265">
        <f t="shared" si="2"/>
        <v>0</v>
      </c>
      <c r="G12" s="265">
        <f t="shared" si="2"/>
        <v>0</v>
      </c>
      <c r="H12" s="265">
        <f t="shared" si="2"/>
        <v>0</v>
      </c>
      <c r="I12" s="265"/>
      <c r="J12" s="266"/>
      <c r="K12" s="267">
        <f t="shared" si="1"/>
        <v>133053.34</v>
      </c>
    </row>
    <row r="13" spans="1:11" x14ac:dyDescent="0.25">
      <c r="A13" s="429">
        <f>'[4]TURMALINA Gentio'!A27</f>
        <v>3</v>
      </c>
      <c r="B13" s="431" t="str">
        <f>'[4]TURMALINA Gentio'!D27</f>
        <v>MACIÇO DA BARRAGEM</v>
      </c>
      <c r="C13" s="264" t="s">
        <v>219</v>
      </c>
      <c r="D13" s="260">
        <f>D14/$D$22</f>
        <v>0.83705868589375187</v>
      </c>
      <c r="E13" s="260">
        <v>0.1</v>
      </c>
      <c r="F13" s="260">
        <v>0.3</v>
      </c>
      <c r="G13" s="260">
        <v>0.5</v>
      </c>
      <c r="H13" s="261">
        <v>0.1</v>
      </c>
      <c r="I13" s="260"/>
      <c r="J13" s="262"/>
      <c r="K13" s="263">
        <f t="shared" si="1"/>
        <v>1</v>
      </c>
    </row>
    <row r="14" spans="1:11" ht="24" customHeight="1" x14ac:dyDescent="0.25">
      <c r="A14" s="429"/>
      <c r="B14" s="431"/>
      <c r="C14" s="264" t="s">
        <v>220</v>
      </c>
      <c r="D14" s="265">
        <f>'[2]Orç. Turalina ÁLVARO SICOR'!I32</f>
        <v>1151766.5099999998</v>
      </c>
      <c r="E14" s="265">
        <f t="shared" ref="E14:H14" si="3">E13*$D$14</f>
        <v>115176.65099999998</v>
      </c>
      <c r="F14" s="265">
        <f t="shared" si="3"/>
        <v>345529.95299999992</v>
      </c>
      <c r="G14" s="265">
        <f t="shared" si="3"/>
        <v>575883.25499999989</v>
      </c>
      <c r="H14" s="265">
        <f t="shared" si="3"/>
        <v>115176.65099999998</v>
      </c>
      <c r="I14" s="265"/>
      <c r="J14" s="266"/>
      <c r="K14" s="267">
        <f t="shared" si="1"/>
        <v>1151766.5099999998</v>
      </c>
    </row>
    <row r="15" spans="1:11" ht="24" customHeight="1" x14ac:dyDescent="0.25">
      <c r="A15" s="429">
        <v>4</v>
      </c>
      <c r="B15" s="431" t="str">
        <f>'[2]Orç. Turmalina MOD ÁLVARO 27-11'!D34</f>
        <v>CANAL SANGRADOURO</v>
      </c>
      <c r="C15" s="264" t="s">
        <v>219</v>
      </c>
      <c r="D15" s="260">
        <f t="shared" ref="D15" si="4">D16/$D$22</f>
        <v>3.1085730041887218E-2</v>
      </c>
      <c r="E15" s="260">
        <v>0.1</v>
      </c>
      <c r="F15" s="260">
        <v>0.3</v>
      </c>
      <c r="G15" s="260">
        <v>0.5</v>
      </c>
      <c r="H15" s="261">
        <v>0.1</v>
      </c>
      <c r="I15" s="260"/>
      <c r="J15" s="262"/>
      <c r="K15" s="263">
        <f t="shared" si="1"/>
        <v>1</v>
      </c>
    </row>
    <row r="16" spans="1:11" ht="24" customHeight="1" x14ac:dyDescent="0.25">
      <c r="A16" s="429"/>
      <c r="B16" s="431"/>
      <c r="C16" s="264" t="s">
        <v>220</v>
      </c>
      <c r="D16" s="265">
        <f>'[2]Orç. Turalina ÁLVARO SICOR'!I41</f>
        <v>42772.99</v>
      </c>
      <c r="E16" s="265">
        <f>E15*$D$16</f>
        <v>4277.299</v>
      </c>
      <c r="F16" s="265">
        <f t="shared" ref="F16:H16" si="5">F15*$D$16</f>
        <v>12831.896999999999</v>
      </c>
      <c r="G16" s="265">
        <f t="shared" si="5"/>
        <v>21386.494999999999</v>
      </c>
      <c r="H16" s="265">
        <f t="shared" si="5"/>
        <v>4277.299</v>
      </c>
      <c r="I16" s="265"/>
      <c r="J16" s="265"/>
      <c r="K16" s="267">
        <f t="shared" si="1"/>
        <v>42772.99</v>
      </c>
    </row>
    <row r="17" spans="1:12" ht="24" customHeight="1" x14ac:dyDescent="0.25">
      <c r="A17" s="429">
        <v>5</v>
      </c>
      <c r="B17" s="431" t="str">
        <f>'[2]Orç. Turmalina MOD ÁLVARO 27-11'!D42</f>
        <v>MATERIAIS E PEÇAS DO SIFÃO HIDRÁULICO</v>
      </c>
      <c r="C17" s="264" t="s">
        <v>219</v>
      </c>
      <c r="D17" s="260">
        <f t="shared" ref="D17" si="6">D18/$D$22</f>
        <v>1.8469061776952553E-2</v>
      </c>
      <c r="E17" s="260">
        <v>0.1</v>
      </c>
      <c r="F17" s="260">
        <v>0.3</v>
      </c>
      <c r="G17" s="260">
        <v>0.5</v>
      </c>
      <c r="H17" s="261">
        <v>0.1</v>
      </c>
      <c r="I17" s="260"/>
      <c r="J17" s="262"/>
      <c r="K17" s="263">
        <f t="shared" si="1"/>
        <v>1</v>
      </c>
    </row>
    <row r="18" spans="1:12" ht="24" customHeight="1" x14ac:dyDescent="0.25">
      <c r="A18" s="429"/>
      <c r="B18" s="431"/>
      <c r="C18" s="264" t="s">
        <v>220</v>
      </c>
      <c r="D18" s="265">
        <f>'[2]Orç. Turalina ÁLVARO SICOR'!I58</f>
        <v>25412.850000000002</v>
      </c>
      <c r="E18" s="265">
        <f>E17*$D$18</f>
        <v>2541.2850000000003</v>
      </c>
      <c r="F18" s="265">
        <f t="shared" ref="F18:H18" si="7">F17*$D$18</f>
        <v>7623.8550000000005</v>
      </c>
      <c r="G18" s="265">
        <f t="shared" si="7"/>
        <v>12706.425000000001</v>
      </c>
      <c r="H18" s="265">
        <f t="shared" si="7"/>
        <v>2541.2850000000003</v>
      </c>
      <c r="I18" s="265"/>
      <c r="J18" s="265"/>
      <c r="K18" s="267">
        <f t="shared" si="1"/>
        <v>25412.850000000002</v>
      </c>
    </row>
    <row r="19" spans="1:12" x14ac:dyDescent="0.25">
      <c r="A19" s="429">
        <v>6</v>
      </c>
      <c r="B19" s="431" t="str">
        <f>'[2]Orç. Turmalina MOD ÁLVARO 27-11'!D59</f>
        <v>ADMINISTRAÇÃO DE OBRAS</v>
      </c>
      <c r="C19" s="264" t="s">
        <v>219</v>
      </c>
      <c r="D19" s="260">
        <f>D20/$D$22</f>
        <v>1.5401709915411229E-2</v>
      </c>
      <c r="E19" s="260">
        <v>0.5</v>
      </c>
      <c r="F19" s="260">
        <v>0</v>
      </c>
      <c r="G19" s="260">
        <v>0</v>
      </c>
      <c r="H19" s="261">
        <v>0.5</v>
      </c>
      <c r="I19" s="260"/>
      <c r="J19" s="262"/>
      <c r="K19" s="263">
        <f t="shared" si="1"/>
        <v>1</v>
      </c>
    </row>
    <row r="20" spans="1:12" ht="24" customHeight="1" x14ac:dyDescent="0.25">
      <c r="A20" s="430"/>
      <c r="B20" s="432"/>
      <c r="C20" s="264" t="s">
        <v>220</v>
      </c>
      <c r="D20" s="265">
        <f>'[2]Orç. Turalina ÁLVARO SICOR'!I61</f>
        <v>21192.27</v>
      </c>
      <c r="E20" s="265">
        <f t="shared" ref="E20:H20" si="8">E19*$D$20</f>
        <v>10596.135</v>
      </c>
      <c r="F20" s="265">
        <f t="shared" si="8"/>
        <v>0</v>
      </c>
      <c r="G20" s="265">
        <f t="shared" si="8"/>
        <v>0</v>
      </c>
      <c r="H20" s="265">
        <f t="shared" si="8"/>
        <v>10596.135</v>
      </c>
      <c r="I20" s="265"/>
      <c r="J20" s="266"/>
      <c r="K20" s="267">
        <f t="shared" si="1"/>
        <v>21192.27</v>
      </c>
    </row>
    <row r="21" spans="1:12" x14ac:dyDescent="0.25">
      <c r="A21" s="268"/>
      <c r="B21" s="433" t="s">
        <v>31</v>
      </c>
      <c r="C21" s="269" t="s">
        <v>219</v>
      </c>
      <c r="D21" s="270">
        <f>SUM(D9,D11,D13,D15,D17,D19)</f>
        <v>0.99999999999999978</v>
      </c>
      <c r="E21" s="270">
        <f t="shared" ref="E21:H21" si="9">E22/$D$22</f>
        <v>0.19434701510096178</v>
      </c>
      <c r="F21" s="270">
        <f>F22/$D$22</f>
        <v>0.26598404331377745</v>
      </c>
      <c r="G21" s="270">
        <f t="shared" si="9"/>
        <v>0.44330673885629585</v>
      </c>
      <c r="H21" s="270">
        <f t="shared" si="9"/>
        <v>9.6362202728964799E-2</v>
      </c>
      <c r="I21" s="270"/>
      <c r="J21" s="271"/>
      <c r="K21" s="263">
        <f t="shared" si="1"/>
        <v>0.99999999999999978</v>
      </c>
    </row>
    <row r="22" spans="1:12" ht="15.75" thickBot="1" x14ac:dyDescent="0.3">
      <c r="A22" s="272"/>
      <c r="B22" s="434"/>
      <c r="C22" s="273" t="s">
        <v>220</v>
      </c>
      <c r="D22" s="274">
        <f>SUM(D10,D12,D14,D16,D18,D20)</f>
        <v>1375968.65</v>
      </c>
      <c r="E22" s="274">
        <f t="shared" ref="E22:H22" si="10">SUM(E10,E12,E14,E16,E18,E20)</f>
        <v>267415.39999999997</v>
      </c>
      <c r="F22" s="274">
        <f t="shared" si="10"/>
        <v>365985.7049999999</v>
      </c>
      <c r="G22" s="274">
        <f t="shared" si="10"/>
        <v>609976.17499999993</v>
      </c>
      <c r="H22" s="274">
        <f t="shared" si="10"/>
        <v>132591.37</v>
      </c>
      <c r="I22" s="274"/>
      <c r="J22" s="274"/>
      <c r="K22" s="267">
        <f t="shared" si="1"/>
        <v>1375968.65</v>
      </c>
    </row>
    <row r="23" spans="1:12" ht="15.75" thickBot="1" x14ac:dyDescent="0.3">
      <c r="A23" s="275"/>
      <c r="B23" s="275"/>
      <c r="C23" s="276"/>
      <c r="D23" s="276"/>
      <c r="E23" s="275"/>
      <c r="F23" s="275"/>
      <c r="G23" s="275"/>
      <c r="H23" s="275"/>
      <c r="I23" s="275"/>
      <c r="J23" s="275"/>
      <c r="K23" s="263"/>
    </row>
    <row r="24" spans="1:12" s="283" customFormat="1" ht="14.25" customHeight="1" x14ac:dyDescent="0.25">
      <c r="A24" s="277"/>
      <c r="B24" s="278"/>
      <c r="C24" s="278"/>
      <c r="D24" s="278"/>
      <c r="E24" s="278"/>
      <c r="F24" s="278"/>
      <c r="G24" s="279"/>
      <c r="H24" s="280"/>
      <c r="I24" s="281"/>
      <c r="J24" s="282"/>
      <c r="L24" s="284" t="s">
        <v>221</v>
      </c>
    </row>
    <row r="25" spans="1:12" s="283" customFormat="1" ht="14.25" customHeight="1" x14ac:dyDescent="0.25">
      <c r="A25" s="285"/>
      <c r="B25" s="286"/>
      <c r="C25" s="286"/>
      <c r="D25" s="286"/>
      <c r="E25" s="286"/>
      <c r="F25" s="286"/>
      <c r="G25" s="287"/>
      <c r="H25" s="288"/>
      <c r="J25" s="289"/>
      <c r="L25" s="284"/>
    </row>
    <row r="26" spans="1:12" s="283" customFormat="1" ht="14.25" customHeight="1" x14ac:dyDescent="0.25">
      <c r="A26" s="285"/>
      <c r="B26" s="286"/>
      <c r="C26" s="286"/>
      <c r="D26" s="286"/>
      <c r="E26" s="286"/>
      <c r="F26" s="286"/>
      <c r="G26" s="287"/>
      <c r="H26" s="288"/>
      <c r="J26" s="289"/>
      <c r="L26" s="284"/>
    </row>
    <row r="27" spans="1:12" s="283" customFormat="1" ht="14.25" customHeight="1" x14ac:dyDescent="0.25">
      <c r="A27" s="285"/>
      <c r="B27" s="290"/>
      <c r="C27" s="290"/>
      <c r="D27" s="286"/>
      <c r="E27" s="291"/>
      <c r="F27" s="290"/>
      <c r="G27" s="292"/>
      <c r="H27" s="293" t="s">
        <v>222</v>
      </c>
      <c r="J27" s="294"/>
    </row>
    <row r="28" spans="1:12" s="283" customFormat="1" ht="14.25" customHeight="1" x14ac:dyDescent="0.25">
      <c r="A28" s="295"/>
      <c r="B28" s="435" t="s">
        <v>223</v>
      </c>
      <c r="C28" s="435"/>
      <c r="D28" s="296"/>
      <c r="E28" s="436" t="s">
        <v>224</v>
      </c>
      <c r="F28" s="436"/>
      <c r="G28" s="298"/>
      <c r="H28" s="288"/>
      <c r="J28" s="289"/>
    </row>
    <row r="29" spans="1:12" s="283" customFormat="1" ht="14.25" customHeight="1" x14ac:dyDescent="0.25">
      <c r="A29" s="295"/>
      <c r="B29" s="297"/>
      <c r="C29" s="297"/>
      <c r="D29" s="296"/>
      <c r="E29" s="297"/>
      <c r="F29" s="297"/>
      <c r="G29" s="298"/>
      <c r="H29" s="288"/>
      <c r="J29" s="289"/>
    </row>
    <row r="30" spans="1:12" s="283" customFormat="1" ht="14.25" customHeight="1" x14ac:dyDescent="0.25">
      <c r="A30" s="295"/>
      <c r="B30" s="297"/>
      <c r="C30" s="297"/>
      <c r="D30" s="296"/>
      <c r="E30" s="297"/>
      <c r="F30" s="297"/>
      <c r="G30" s="298"/>
      <c r="H30" s="288"/>
      <c r="J30" s="289"/>
    </row>
    <row r="31" spans="1:12" s="283" customFormat="1" ht="15" customHeight="1" x14ac:dyDescent="0.25">
      <c r="A31" s="299"/>
      <c r="B31" s="284"/>
      <c r="C31" s="284"/>
      <c r="D31" s="296"/>
      <c r="E31" s="296"/>
      <c r="G31" s="300"/>
      <c r="H31" s="288"/>
      <c r="J31" s="289"/>
    </row>
    <row r="32" spans="1:12" s="283" customFormat="1" ht="13.5" customHeight="1" x14ac:dyDescent="0.25">
      <c r="A32" s="301"/>
      <c r="B32" s="437"/>
      <c r="C32" s="437"/>
      <c r="D32" s="302"/>
      <c r="E32" s="302"/>
      <c r="F32" s="303"/>
      <c r="G32" s="300"/>
      <c r="H32" s="288"/>
      <c r="J32" s="289"/>
    </row>
    <row r="33" spans="1:10" s="283" customFormat="1" ht="14.25" customHeight="1" thickBot="1" x14ac:dyDescent="0.3">
      <c r="A33" s="304"/>
      <c r="B33" s="428" t="s">
        <v>225</v>
      </c>
      <c r="C33" s="428"/>
      <c r="D33" s="305"/>
      <c r="E33" s="305"/>
      <c r="F33" s="306"/>
      <c r="G33" s="307"/>
      <c r="H33" s="308"/>
      <c r="I33" s="306"/>
      <c r="J33" s="309"/>
    </row>
  </sheetData>
  <mergeCells count="26">
    <mergeCell ref="A11:A12"/>
    <mergeCell ref="B11:B12"/>
    <mergeCell ref="A1:J4"/>
    <mergeCell ref="A5:J5"/>
    <mergeCell ref="A6:B6"/>
    <mergeCell ref="C6:D6"/>
    <mergeCell ref="E6:F6"/>
    <mergeCell ref="H6:J6"/>
    <mergeCell ref="A7:B7"/>
    <mergeCell ref="C7:G7"/>
    <mergeCell ref="H7:J7"/>
    <mergeCell ref="A9:A10"/>
    <mergeCell ref="B9:B10"/>
    <mergeCell ref="E28:F28"/>
    <mergeCell ref="B32:C32"/>
    <mergeCell ref="A13:A14"/>
    <mergeCell ref="B13:B14"/>
    <mergeCell ref="A15:A16"/>
    <mergeCell ref="B15:B16"/>
    <mergeCell ref="A17:A18"/>
    <mergeCell ref="B17:B18"/>
    <mergeCell ref="B33:C33"/>
    <mergeCell ref="A19:A20"/>
    <mergeCell ref="B19:B20"/>
    <mergeCell ref="B21:B22"/>
    <mergeCell ref="B28:C28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9575-8AD5-435C-9F7F-7FBF9BC9811B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Orç. Turmalina MOD ÁLVARO 27-11</vt:lpstr>
      <vt:lpstr>Orç. Turalina ÁLVARO SICOR</vt:lpstr>
      <vt:lpstr>CPU 01 TURMALINA</vt:lpstr>
      <vt:lpstr>CRONO F-F TURMALINA SICOR</vt:lpstr>
      <vt:lpstr>Planilha1</vt:lpstr>
      <vt:lpstr>'CRONO F-F TURMALINA SICOR'!Area_de_impressao</vt:lpstr>
      <vt:lpstr>'Orç. Turalina ÁLVARO SICOR'!Area_de_impressao</vt:lpstr>
      <vt:lpstr>'Orç. Turmalina MOD ÁLVARO 27-11'!Area_de_impressao</vt:lpstr>
      <vt:lpstr>'Orç. Turalina ÁLVARO SICOR'!Titulos_de_impressao</vt:lpstr>
      <vt:lpstr>'Orç. Turmalina MOD ÁLVARO 27-11'!Titulos_de_impressao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User</cp:lastModifiedBy>
  <dcterms:created xsi:type="dcterms:W3CDTF">2015-06-05T18:17:20Z</dcterms:created>
  <dcterms:modified xsi:type="dcterms:W3CDTF">2024-05-27T19:40:47Z</dcterms:modified>
</cp:coreProperties>
</file>